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ger\Desktop\Lokal disk (F)\BREVE\NORDISK\NMFV\dokumenter til placering på hjemmesiden\"/>
    </mc:Choice>
  </mc:AlternateContent>
  <xr:revisionPtr revIDLastSave="0" documentId="8_{385B57E2-E998-47A9-8DC3-0CD1DF5B72BE}" xr6:coauthVersionLast="47" xr6:coauthVersionMax="47" xr10:uidLastSave="{00000000-0000-0000-0000-000000000000}"/>
  <bookViews>
    <workbookView xWindow="3330" yWindow="0" windowWidth="16005" windowHeight="14985" xr2:uid="{00000000-000D-0000-FFFF-FFFF00000000}"/>
  </bookViews>
  <sheets>
    <sheet name="Short tunnels" sheetId="2" r:id="rId1"/>
    <sheet name="Entrance portal" sheetId="9" r:id="rId2"/>
    <sheet name="Location of the observer" sheetId="13" r:id="rId3"/>
    <sheet name="Apparent entrance portal" sheetId="10" r:id="rId4"/>
    <sheet name="Apparent exit portal" sheetId="12" r:id="rId5"/>
    <sheet name="Vehicle and cyclist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2" l="1"/>
  <c r="C85" i="12"/>
  <c r="C9" i="13"/>
  <c r="C11" i="13" s="1"/>
  <c r="C7" i="13"/>
  <c r="C15" i="13" s="1"/>
  <c r="C8" i="13"/>
  <c r="C10" i="13" s="1"/>
  <c r="C6" i="13"/>
  <c r="C5" i="13"/>
  <c r="C9" i="12"/>
  <c r="C28" i="12" s="1"/>
  <c r="C8" i="12"/>
  <c r="C27" i="12" s="1"/>
  <c r="I9" i="12" s="1"/>
  <c r="C11" i="12"/>
  <c r="C25" i="12" s="1"/>
  <c r="C10" i="12"/>
  <c r="C14" i="12"/>
  <c r="C8" i="10"/>
  <c r="C11" i="10"/>
  <c r="C18" i="10" s="1"/>
  <c r="C21" i="10" s="1"/>
  <c r="C5" i="10"/>
  <c r="C12" i="12"/>
  <c r="C24" i="12" s="1"/>
  <c r="C10" i="10"/>
  <c r="C17" i="10" s="1"/>
  <c r="C6" i="10"/>
  <c r="B6" i="4"/>
  <c r="B8" i="4"/>
  <c r="B7" i="4"/>
  <c r="B11" i="4"/>
  <c r="B13" i="4"/>
  <c r="B12" i="4"/>
  <c r="D20" i="9"/>
  <c r="D21" i="9" s="1"/>
  <c r="D24" i="9"/>
  <c r="C5" i="9"/>
  <c r="C13" i="9" s="1"/>
  <c r="D22" i="9" s="1"/>
  <c r="D23" i="9" s="1"/>
  <c r="C4" i="9"/>
  <c r="C8" i="9" s="1"/>
  <c r="C21" i="9" s="1"/>
  <c r="C22" i="9" s="1"/>
  <c r="C13" i="12"/>
  <c r="C7" i="10"/>
  <c r="C26" i="12" l="1"/>
  <c r="C2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C32" i="10"/>
  <c r="C31" i="10"/>
  <c r="C9" i="9"/>
  <c r="C20" i="9" s="1"/>
  <c r="C22" i="10"/>
  <c r="C16" i="13"/>
  <c r="C17" i="13" s="1"/>
  <c r="M9" i="12"/>
  <c r="L9" i="12"/>
  <c r="H10" i="12" l="1"/>
  <c r="I10" i="12" s="1"/>
  <c r="C18" i="13"/>
  <c r="C19" i="13" s="1"/>
  <c r="D15" i="13" s="1"/>
  <c r="C26" i="10"/>
  <c r="C24" i="10"/>
  <c r="C23" i="10"/>
  <c r="C25" i="10"/>
  <c r="T9" i="12"/>
  <c r="O9" i="12"/>
  <c r="C24" i="9"/>
  <c r="C23" i="9"/>
  <c r="N9" i="12"/>
  <c r="C34" i="10"/>
  <c r="C35" i="10"/>
  <c r="C36" i="10"/>
  <c r="C33" i="10"/>
  <c r="D16" i="13" l="1"/>
  <c r="D17" i="13" s="1"/>
  <c r="J9" i="12"/>
  <c r="L10" i="12"/>
  <c r="M10" i="12"/>
  <c r="O10" i="12" s="1"/>
  <c r="D18" i="13" l="1"/>
  <c r="D19" i="13" s="1"/>
  <c r="E15" i="13" s="1"/>
  <c r="T10" i="12"/>
  <c r="N10" i="12"/>
  <c r="K9" i="12"/>
  <c r="S9" i="12"/>
  <c r="Q9" i="12"/>
  <c r="E16" i="13" l="1"/>
  <c r="R9" i="12"/>
  <c r="P9" i="12"/>
  <c r="J10" i="12"/>
  <c r="K10" i="12" l="1"/>
  <c r="S10" i="12"/>
  <c r="Q10" i="12"/>
  <c r="E20" i="13"/>
  <c r="E17" i="13"/>
  <c r="R10" i="12" l="1"/>
  <c r="U10" i="12"/>
  <c r="H11" i="12" s="1"/>
  <c r="P10" i="12"/>
  <c r="E18" i="13"/>
  <c r="E23" i="13" s="1"/>
  <c r="E21" i="13" l="1"/>
  <c r="E25" i="13" s="1"/>
  <c r="E24" i="13"/>
  <c r="C16" i="12"/>
  <c r="C31" i="12" s="1"/>
  <c r="C13" i="10"/>
  <c r="I11" i="12"/>
  <c r="E19" i="13"/>
  <c r="C17" i="12" l="1"/>
  <c r="C32" i="12" s="1"/>
  <c r="Y9" i="12" s="1"/>
  <c r="C14" i="10"/>
  <c r="C28" i="10" s="1"/>
  <c r="L11" i="12"/>
  <c r="M11" i="12"/>
  <c r="O11" i="12" s="1"/>
  <c r="C15" i="12"/>
  <c r="C30" i="12" s="1"/>
  <c r="C15" i="10"/>
  <c r="C27" i="10" l="1"/>
  <c r="E27" i="10" s="1"/>
  <c r="C18" i="12" s="1"/>
  <c r="X9" i="12"/>
  <c r="N46" i="12" s="1"/>
  <c r="E28" i="10"/>
  <c r="C19" i="12" s="1"/>
  <c r="C46" i="10"/>
  <c r="C45" i="10"/>
  <c r="B17" i="4"/>
  <c r="Q46" i="12"/>
  <c r="K46" i="12"/>
  <c r="T11" i="12"/>
  <c r="N11" i="12"/>
  <c r="W11" i="12" s="1"/>
  <c r="X10" i="12"/>
  <c r="Y10" i="12"/>
  <c r="C38" i="10"/>
  <c r="C37" i="10"/>
  <c r="W9" i="12"/>
  <c r="V9" i="12"/>
  <c r="W10" i="12"/>
  <c r="V10" i="12"/>
  <c r="V11" i="12"/>
  <c r="H46" i="12" l="1"/>
  <c r="B16" i="4"/>
  <c r="B22" i="4" s="1"/>
  <c r="C44" i="10"/>
  <c r="C48" i="10" s="1"/>
  <c r="C47" i="10"/>
  <c r="P46" i="12"/>
  <c r="M46" i="12"/>
  <c r="E37" i="10"/>
  <c r="C20" i="12" s="1"/>
  <c r="O47" i="12" s="1"/>
  <c r="D45" i="10"/>
  <c r="B18" i="4"/>
  <c r="D44" i="10"/>
  <c r="D48" i="10" s="1"/>
  <c r="D46" i="10"/>
  <c r="C40" i="10"/>
  <c r="E38" i="10"/>
  <c r="B19" i="4"/>
  <c r="D47" i="10"/>
  <c r="R47" i="12"/>
  <c r="G46" i="12"/>
  <c r="J46" i="12"/>
  <c r="J11" i="12"/>
  <c r="B20" i="4" l="1"/>
  <c r="B46" i="4" s="1"/>
  <c r="B21" i="4"/>
  <c r="E40" i="10"/>
  <c r="C21" i="12"/>
  <c r="M47" i="12"/>
  <c r="N47" i="12"/>
  <c r="K11" i="12"/>
  <c r="Q11" i="12"/>
  <c r="S11" i="12"/>
  <c r="C33" i="4"/>
  <c r="C46" i="4"/>
  <c r="P47" i="12"/>
  <c r="Q47" i="12"/>
  <c r="B34" i="4" l="1"/>
  <c r="B35" i="4" s="1"/>
  <c r="B47" i="4"/>
  <c r="B48" i="4" s="1"/>
  <c r="B33" i="4"/>
  <c r="B36" i="4" s="1"/>
  <c r="B50" i="4"/>
  <c r="B49" i="4"/>
  <c r="C35" i="4"/>
  <c r="C36" i="4" s="1"/>
  <c r="C34" i="4"/>
  <c r="C37" i="4"/>
  <c r="L47" i="12"/>
  <c r="I47" i="12"/>
  <c r="C48" i="4"/>
  <c r="C49" i="4" s="1"/>
  <c r="C47" i="4"/>
  <c r="C50" i="4"/>
  <c r="R11" i="12"/>
  <c r="Y11" i="12" s="1"/>
  <c r="U11" i="12"/>
  <c r="H12" i="12" s="1"/>
  <c r="P11" i="12"/>
  <c r="X11" i="12" s="1"/>
  <c r="F38" i="2"/>
  <c r="C22" i="12"/>
  <c r="B54" i="4" l="1"/>
  <c r="D40" i="4"/>
  <c r="E40" i="4"/>
  <c r="B37" i="4"/>
  <c r="C40" i="4" s="1"/>
  <c r="C54" i="4"/>
  <c r="R48" i="12"/>
  <c r="L48" i="12"/>
  <c r="O48" i="12"/>
  <c r="I48" i="12"/>
  <c r="J47" i="12"/>
  <c r="K47" i="12"/>
  <c r="I12" i="12"/>
  <c r="E54" i="4"/>
  <c r="D54" i="4"/>
  <c r="H47" i="12"/>
  <c r="G47" i="12"/>
  <c r="B40" i="4" l="1"/>
  <c r="F40" i="4" s="1"/>
  <c r="N48" i="12"/>
  <c r="M48" i="12"/>
  <c r="J48" i="12"/>
  <c r="K48" i="12"/>
  <c r="Q48" i="12"/>
  <c r="P48" i="12"/>
  <c r="H48" i="12"/>
  <c r="G48" i="12"/>
  <c r="F54" i="4"/>
  <c r="M12" i="12"/>
  <c r="O12" i="12" s="1"/>
  <c r="L12" i="12"/>
  <c r="T12" i="12" l="1"/>
  <c r="N12" i="12"/>
  <c r="W12" i="12" s="1"/>
  <c r="V12" i="12"/>
  <c r="J12" i="12" l="1"/>
  <c r="K12" i="12" l="1"/>
  <c r="S12" i="12"/>
  <c r="Q12" i="12"/>
  <c r="R12" i="12" l="1"/>
  <c r="Y12" i="12" s="1"/>
  <c r="U12" i="12"/>
  <c r="H13" i="12" s="1"/>
  <c r="P12" i="12"/>
  <c r="X12" i="12" s="1"/>
  <c r="I49" i="12" l="1"/>
  <c r="O49" i="12"/>
  <c r="L49" i="12"/>
  <c r="R49" i="12"/>
  <c r="I13" i="12"/>
  <c r="L13" i="12" l="1"/>
  <c r="M13" i="12"/>
  <c r="O13" i="12" s="1"/>
  <c r="N49" i="12"/>
  <c r="M49" i="12"/>
  <c r="H49" i="12"/>
  <c r="G49" i="12"/>
  <c r="Q49" i="12"/>
  <c r="P49" i="12"/>
  <c r="K49" i="12"/>
  <c r="J49" i="12"/>
  <c r="T13" i="12" l="1"/>
  <c r="N13" i="12"/>
  <c r="W13" i="12" s="1"/>
  <c r="V13" i="12"/>
  <c r="J13" i="12" l="1"/>
  <c r="K13" i="12" l="1"/>
  <c r="S13" i="12"/>
  <c r="Q13" i="12"/>
  <c r="R13" i="12" l="1"/>
  <c r="Y13" i="12" s="1"/>
  <c r="U13" i="12"/>
  <c r="H14" i="12" s="1"/>
  <c r="P13" i="12"/>
  <c r="X13" i="12" s="1"/>
  <c r="O50" i="12" l="1"/>
  <c r="I50" i="12"/>
  <c r="I14" i="12"/>
  <c r="L50" i="12"/>
  <c r="R50" i="12"/>
  <c r="H50" i="12" l="1"/>
  <c r="G50" i="12"/>
  <c r="L14" i="12"/>
  <c r="M14" i="12"/>
  <c r="O14" i="12" s="1"/>
  <c r="P50" i="12"/>
  <c r="Q50" i="12"/>
  <c r="J50" i="12"/>
  <c r="K50" i="12"/>
  <c r="M50" i="12"/>
  <c r="N50" i="12"/>
  <c r="T14" i="12" l="1"/>
  <c r="N14" i="12"/>
  <c r="W14" i="12" s="1"/>
  <c r="V14" i="12"/>
  <c r="J14" i="12" l="1"/>
  <c r="K14" i="12" l="1"/>
  <c r="Q14" i="12"/>
  <c r="S14" i="12"/>
  <c r="R14" i="12" l="1"/>
  <c r="Y14" i="12" s="1"/>
  <c r="U14" i="12"/>
  <c r="H15" i="12" s="1"/>
  <c r="P14" i="12"/>
  <c r="X14" i="12" s="1"/>
  <c r="I51" i="12" l="1"/>
  <c r="O51" i="12"/>
  <c r="R51" i="12"/>
  <c r="L51" i="12"/>
  <c r="I15" i="12"/>
  <c r="P51" i="12" l="1"/>
  <c r="Q51" i="12"/>
  <c r="K51" i="12"/>
  <c r="J51" i="12"/>
  <c r="N51" i="12"/>
  <c r="M51" i="12"/>
  <c r="L15" i="12"/>
  <c r="M15" i="12"/>
  <c r="O15" i="12" s="1"/>
  <c r="H51" i="12"/>
  <c r="G51" i="12"/>
  <c r="T15" i="12" l="1"/>
  <c r="N15" i="12"/>
  <c r="W15" i="12" s="1"/>
  <c r="V15" i="12"/>
  <c r="J15" i="12" l="1"/>
  <c r="K15" i="12" l="1"/>
  <c r="Q15" i="12"/>
  <c r="S15" i="12"/>
  <c r="R15" i="12" l="1"/>
  <c r="Y15" i="12" s="1"/>
  <c r="U15" i="12"/>
  <c r="H16" i="12" s="1"/>
  <c r="P15" i="12"/>
  <c r="X15" i="12" s="1"/>
  <c r="I52" i="12" l="1"/>
  <c r="O52" i="12"/>
  <c r="R52" i="12"/>
  <c r="L52" i="12"/>
  <c r="I16" i="12"/>
  <c r="P52" i="12" l="1"/>
  <c r="Q52" i="12"/>
  <c r="N52" i="12"/>
  <c r="M52" i="12"/>
  <c r="J52" i="12"/>
  <c r="K52" i="12"/>
  <c r="L16" i="12"/>
  <c r="M16" i="12"/>
  <c r="O16" i="12" s="1"/>
  <c r="G52" i="12"/>
  <c r="H52" i="12"/>
  <c r="T16" i="12" l="1"/>
  <c r="N16" i="12"/>
  <c r="W16" i="12" s="1"/>
  <c r="V16" i="12"/>
  <c r="J16" i="12" l="1"/>
  <c r="K16" i="12" l="1"/>
  <c r="S16" i="12"/>
  <c r="Q16" i="12"/>
  <c r="R16" i="12" l="1"/>
  <c r="Y16" i="12" s="1"/>
  <c r="U16" i="12"/>
  <c r="H17" i="12" s="1"/>
  <c r="P16" i="12"/>
  <c r="X16" i="12" s="1"/>
  <c r="O53" i="12" l="1"/>
  <c r="I53" i="12"/>
  <c r="L53" i="12"/>
  <c r="R53" i="12"/>
  <c r="I17" i="12"/>
  <c r="Q53" i="12" l="1"/>
  <c r="P53" i="12"/>
  <c r="K53" i="12"/>
  <c r="J53" i="12"/>
  <c r="H53" i="12"/>
  <c r="G53" i="12"/>
  <c r="L17" i="12"/>
  <c r="M17" i="12"/>
  <c r="O17" i="12" s="1"/>
  <c r="N53" i="12"/>
  <c r="M53" i="12"/>
  <c r="T17" i="12" l="1"/>
  <c r="N17" i="12"/>
  <c r="W17" i="12" s="1"/>
  <c r="V17" i="12"/>
  <c r="J17" i="12" l="1"/>
  <c r="K17" i="12" l="1"/>
  <c r="Q17" i="12"/>
  <c r="S17" i="12"/>
  <c r="R17" i="12" l="1"/>
  <c r="Y17" i="12" s="1"/>
  <c r="U17" i="12"/>
  <c r="H18" i="12" s="1"/>
  <c r="P17" i="12"/>
  <c r="X17" i="12" s="1"/>
  <c r="R54" i="12" l="1"/>
  <c r="L54" i="12"/>
  <c r="I18" i="12"/>
  <c r="I54" i="12"/>
  <c r="O54" i="12"/>
  <c r="H54" i="12" l="1"/>
  <c r="G54" i="12"/>
  <c r="L18" i="12"/>
  <c r="M18" i="12"/>
  <c r="O18" i="12" s="1"/>
  <c r="J54" i="12"/>
  <c r="K54" i="12"/>
  <c r="M54" i="12"/>
  <c r="N54" i="12"/>
  <c r="P54" i="12"/>
  <c r="Q54" i="12"/>
  <c r="T18" i="12" l="1"/>
  <c r="N18" i="12"/>
  <c r="W18" i="12" s="1"/>
  <c r="V18" i="12"/>
  <c r="J18" i="12" l="1"/>
  <c r="K18" i="12" l="1"/>
  <c r="S18" i="12"/>
  <c r="Q18" i="12"/>
  <c r="R18" i="12" l="1"/>
  <c r="Y18" i="12" s="1"/>
  <c r="U18" i="12"/>
  <c r="H19" i="12" s="1"/>
  <c r="P18" i="12"/>
  <c r="X18" i="12" s="1"/>
  <c r="R55" i="12" l="1"/>
  <c r="L55" i="12"/>
  <c r="O55" i="12"/>
  <c r="I55" i="12"/>
  <c r="I19" i="12"/>
  <c r="L19" i="12" l="1"/>
  <c r="M19" i="12"/>
  <c r="O19" i="12" s="1"/>
  <c r="P55" i="12"/>
  <c r="Q55" i="12"/>
  <c r="H55" i="12"/>
  <c r="G55" i="12"/>
  <c r="N55" i="12"/>
  <c r="M55" i="12"/>
  <c r="K55" i="12"/>
  <c r="J55" i="12"/>
  <c r="T19" i="12" l="1"/>
  <c r="N19" i="12"/>
  <c r="W19" i="12" s="1"/>
  <c r="V19" i="12"/>
  <c r="J19" i="12" l="1"/>
  <c r="K19" i="12" l="1"/>
  <c r="Q19" i="12"/>
  <c r="S19" i="12"/>
  <c r="R19" i="12" l="1"/>
  <c r="Y19" i="12" s="1"/>
  <c r="U19" i="12"/>
  <c r="H20" i="12" s="1"/>
  <c r="P19" i="12"/>
  <c r="X19" i="12" s="1"/>
  <c r="O56" i="12" l="1"/>
  <c r="I56" i="12"/>
  <c r="L56" i="12"/>
  <c r="R56" i="12"/>
  <c r="I20" i="12"/>
  <c r="P56" i="12" l="1"/>
  <c r="Q56" i="12"/>
  <c r="J56" i="12"/>
  <c r="K56" i="12"/>
  <c r="G56" i="12"/>
  <c r="H56" i="12"/>
  <c r="M20" i="12"/>
  <c r="O20" i="12" s="1"/>
  <c r="L20" i="12"/>
  <c r="N56" i="12"/>
  <c r="M56" i="12"/>
  <c r="T20" i="12" l="1"/>
  <c r="N20" i="12"/>
  <c r="W20" i="12" s="1"/>
  <c r="V20" i="12"/>
  <c r="J20" i="12" l="1"/>
  <c r="K20" i="12" l="1"/>
  <c r="S20" i="12"/>
  <c r="Q20" i="12"/>
  <c r="R20" i="12" l="1"/>
  <c r="Y20" i="12" s="1"/>
  <c r="U20" i="12"/>
  <c r="H21" i="12" s="1"/>
  <c r="P20" i="12"/>
  <c r="X20" i="12" s="1"/>
  <c r="I57" i="12" l="1"/>
  <c r="O57" i="12"/>
  <c r="R57" i="12"/>
  <c r="L57" i="12"/>
  <c r="I21" i="12"/>
  <c r="K57" i="12" l="1"/>
  <c r="J57" i="12"/>
  <c r="Q57" i="12"/>
  <c r="P57" i="12"/>
  <c r="N57" i="12"/>
  <c r="M57" i="12"/>
  <c r="L21" i="12"/>
  <c r="M21" i="12"/>
  <c r="O21" i="12" s="1"/>
  <c r="H57" i="12"/>
  <c r="G57" i="12"/>
  <c r="T21" i="12" l="1"/>
  <c r="N21" i="12"/>
  <c r="W21" i="12" s="1"/>
  <c r="V21" i="12"/>
  <c r="J21" i="12" l="1"/>
  <c r="K21" i="12" l="1"/>
  <c r="S21" i="12"/>
  <c r="Q21" i="12"/>
  <c r="R21" i="12" l="1"/>
  <c r="Y21" i="12" s="1"/>
  <c r="U21" i="12"/>
  <c r="H22" i="12" s="1"/>
  <c r="P21" i="12"/>
  <c r="X21" i="12" s="1"/>
  <c r="O58" i="12" l="1"/>
  <c r="I58" i="12"/>
  <c r="R58" i="12"/>
  <c r="L58" i="12"/>
  <c r="I22" i="12"/>
  <c r="J58" i="12" l="1"/>
  <c r="K58" i="12"/>
  <c r="P58" i="12"/>
  <c r="Q58" i="12"/>
  <c r="H58" i="12"/>
  <c r="G58" i="12"/>
  <c r="L22" i="12"/>
  <c r="M22" i="12"/>
  <c r="O22" i="12" s="1"/>
  <c r="M58" i="12"/>
  <c r="N58" i="12"/>
  <c r="T22" i="12" l="1"/>
  <c r="N22" i="12"/>
  <c r="W22" i="12" s="1"/>
  <c r="V22" i="12"/>
  <c r="J22" i="12" l="1"/>
  <c r="K22" i="12" l="1"/>
  <c r="S22" i="12"/>
  <c r="Q22" i="12"/>
  <c r="R22" i="12" l="1"/>
  <c r="Y22" i="12" s="1"/>
  <c r="U22" i="12"/>
  <c r="H23" i="12" s="1"/>
  <c r="P22" i="12"/>
  <c r="X22" i="12" s="1"/>
  <c r="O59" i="12" l="1"/>
  <c r="I59" i="12"/>
  <c r="R59" i="12"/>
  <c r="L59" i="12"/>
  <c r="I23" i="12"/>
  <c r="K59" i="12" l="1"/>
  <c r="J59" i="12"/>
  <c r="P59" i="12"/>
  <c r="Q59" i="12"/>
  <c r="H59" i="12"/>
  <c r="G59" i="12"/>
  <c r="M23" i="12"/>
  <c r="O23" i="12" s="1"/>
  <c r="L23" i="12"/>
  <c r="N59" i="12"/>
  <c r="M59" i="12"/>
  <c r="T23" i="12" l="1"/>
  <c r="N23" i="12"/>
  <c r="W23" i="12" s="1"/>
  <c r="V23" i="12"/>
  <c r="J23" i="12" l="1"/>
  <c r="K23" i="12" l="1"/>
  <c r="S23" i="12"/>
  <c r="Q23" i="12"/>
  <c r="R23" i="12" l="1"/>
  <c r="Y23" i="12" s="1"/>
  <c r="U23" i="12"/>
  <c r="H24" i="12" s="1"/>
  <c r="P23" i="12"/>
  <c r="X23" i="12" s="1"/>
  <c r="O60" i="12" l="1"/>
  <c r="I60" i="12"/>
  <c r="R60" i="12"/>
  <c r="L60" i="12"/>
  <c r="I24" i="12"/>
  <c r="J60" i="12" l="1"/>
  <c r="K60" i="12"/>
  <c r="P60" i="12"/>
  <c r="Q60" i="12"/>
  <c r="G60" i="12"/>
  <c r="H60" i="12"/>
  <c r="L24" i="12"/>
  <c r="M24" i="12"/>
  <c r="O24" i="12" s="1"/>
  <c r="N60" i="12"/>
  <c r="M60" i="12"/>
  <c r="T24" i="12" l="1"/>
  <c r="N24" i="12"/>
  <c r="W24" i="12" s="1"/>
  <c r="V24" i="12"/>
  <c r="J24" i="12" l="1"/>
  <c r="K24" i="12" l="1"/>
  <c r="S24" i="12"/>
  <c r="Q24" i="12"/>
  <c r="R24" i="12" l="1"/>
  <c r="Y24" i="12" s="1"/>
  <c r="U24" i="12"/>
  <c r="H25" i="12" s="1"/>
  <c r="P24" i="12"/>
  <c r="X24" i="12" s="1"/>
  <c r="O61" i="12" l="1"/>
  <c r="I61" i="12"/>
  <c r="R61" i="12"/>
  <c r="L61" i="12"/>
  <c r="I25" i="12"/>
  <c r="K61" i="12" l="1"/>
  <c r="J61" i="12"/>
  <c r="Q61" i="12"/>
  <c r="P61" i="12"/>
  <c r="H61" i="12"/>
  <c r="G61" i="12"/>
  <c r="M25" i="12"/>
  <c r="O25" i="12" s="1"/>
  <c r="L25" i="12"/>
  <c r="N61" i="12"/>
  <c r="M61" i="12"/>
  <c r="T25" i="12" l="1"/>
  <c r="N25" i="12"/>
  <c r="W25" i="12" s="1"/>
  <c r="V25" i="12"/>
  <c r="J25" i="12" l="1"/>
  <c r="K25" i="12" l="1"/>
  <c r="S25" i="12"/>
  <c r="Q25" i="12"/>
  <c r="R25" i="12" l="1"/>
  <c r="Y25" i="12" s="1"/>
  <c r="U25" i="12"/>
  <c r="H26" i="12" s="1"/>
  <c r="P25" i="12"/>
  <c r="X25" i="12" s="1"/>
  <c r="O62" i="12" l="1"/>
  <c r="I62" i="12"/>
  <c r="I26" i="12"/>
  <c r="R62" i="12"/>
  <c r="L62" i="12"/>
  <c r="H62" i="12" l="1"/>
  <c r="G62" i="12"/>
  <c r="L26" i="12"/>
  <c r="M26" i="12"/>
  <c r="O26" i="12" s="1"/>
  <c r="J62" i="12"/>
  <c r="K62" i="12"/>
  <c r="P62" i="12"/>
  <c r="Q62" i="12"/>
  <c r="M62" i="12"/>
  <c r="N62" i="12"/>
  <c r="T26" i="12" l="1"/>
  <c r="N26" i="12"/>
  <c r="W26" i="12" s="1"/>
  <c r="V26" i="12"/>
  <c r="J26" i="12" l="1"/>
  <c r="K26" i="12" l="1"/>
  <c r="S26" i="12"/>
  <c r="Q26" i="12"/>
  <c r="R26" i="12" l="1"/>
  <c r="Y26" i="12" s="1"/>
  <c r="U26" i="12"/>
  <c r="H27" i="12" s="1"/>
  <c r="P26" i="12"/>
  <c r="X26" i="12" s="1"/>
  <c r="R63" i="12" l="1"/>
  <c r="L63" i="12"/>
  <c r="O63" i="12"/>
  <c r="I63" i="12"/>
  <c r="I27" i="12"/>
  <c r="H63" i="12" l="1"/>
  <c r="G63" i="12"/>
  <c r="N63" i="12"/>
  <c r="M63" i="12"/>
  <c r="K63" i="12"/>
  <c r="J63" i="12"/>
  <c r="M27" i="12"/>
  <c r="O27" i="12" s="1"/>
  <c r="L27" i="12"/>
  <c r="P63" i="12"/>
  <c r="Q63" i="12"/>
  <c r="T27" i="12" l="1"/>
  <c r="N27" i="12"/>
  <c r="W27" i="12" s="1"/>
  <c r="V27" i="12"/>
  <c r="J27" i="12" l="1"/>
  <c r="K27" i="12" l="1"/>
  <c r="S27" i="12"/>
  <c r="Q27" i="12"/>
  <c r="R27" i="12" l="1"/>
  <c r="Y27" i="12" s="1"/>
  <c r="U27" i="12"/>
  <c r="H28" i="12" s="1"/>
  <c r="P27" i="12"/>
  <c r="X27" i="12" s="1"/>
  <c r="R64" i="12" l="1"/>
  <c r="L64" i="12"/>
  <c r="O64" i="12"/>
  <c r="I64" i="12"/>
  <c r="I28" i="12"/>
  <c r="G64" i="12" l="1"/>
  <c r="H64" i="12"/>
  <c r="N64" i="12"/>
  <c r="M64" i="12"/>
  <c r="J64" i="12"/>
  <c r="K64" i="12"/>
  <c r="L28" i="12"/>
  <c r="M28" i="12"/>
  <c r="O28" i="12" s="1"/>
  <c r="P64" i="12"/>
  <c r="Q64" i="12"/>
  <c r="T28" i="12" l="1"/>
  <c r="N28" i="12"/>
  <c r="W28" i="12" s="1"/>
  <c r="V28" i="12"/>
  <c r="J28" i="12" l="1"/>
  <c r="K28" i="12" l="1"/>
  <c r="Q28" i="12"/>
  <c r="S28" i="12"/>
  <c r="R28" i="12" l="1"/>
  <c r="Y28" i="12" s="1"/>
  <c r="U28" i="12"/>
  <c r="H29" i="12" s="1"/>
  <c r="P28" i="12"/>
  <c r="X28" i="12" s="1"/>
  <c r="O65" i="12" l="1"/>
  <c r="I65" i="12"/>
  <c r="L65" i="12"/>
  <c r="R65" i="12"/>
  <c r="I29" i="12"/>
  <c r="Q65" i="12" l="1"/>
  <c r="P65" i="12"/>
  <c r="K65" i="12"/>
  <c r="J65" i="12"/>
  <c r="H65" i="12"/>
  <c r="G65" i="12"/>
  <c r="L29" i="12"/>
  <c r="M29" i="12"/>
  <c r="O29" i="12" s="1"/>
  <c r="N65" i="12"/>
  <c r="M65" i="12"/>
  <c r="T29" i="12" l="1"/>
  <c r="N29" i="12"/>
  <c r="W29" i="12" s="1"/>
  <c r="V29" i="12"/>
  <c r="J29" i="12" l="1"/>
  <c r="K29" i="12" l="1"/>
  <c r="S29" i="12"/>
  <c r="Q29" i="12"/>
  <c r="R29" i="12" l="1"/>
  <c r="Y29" i="12" s="1"/>
  <c r="U29" i="12"/>
  <c r="H30" i="12" s="1"/>
  <c r="P29" i="12"/>
  <c r="X29" i="12" s="1"/>
  <c r="R66" i="12" l="1"/>
  <c r="L66" i="12"/>
  <c r="I66" i="12"/>
  <c r="O66" i="12"/>
  <c r="I30" i="12"/>
  <c r="P66" i="12" l="1"/>
  <c r="Q66" i="12"/>
  <c r="M66" i="12"/>
  <c r="N66" i="12"/>
  <c r="H66" i="12"/>
  <c r="G66" i="12"/>
  <c r="J66" i="12"/>
  <c r="K66" i="12"/>
  <c r="L30" i="12"/>
  <c r="M30" i="12"/>
  <c r="O30" i="12" s="1"/>
  <c r="T30" i="12" l="1"/>
  <c r="N30" i="12"/>
  <c r="W30" i="12" s="1"/>
  <c r="V30" i="12"/>
  <c r="J30" i="12" l="1"/>
  <c r="K30" i="12" l="1"/>
  <c r="Q30" i="12"/>
  <c r="S30" i="12"/>
  <c r="R30" i="12" l="1"/>
  <c r="Y30" i="12" s="1"/>
  <c r="U30" i="12"/>
  <c r="H31" i="12" s="1"/>
  <c r="P30" i="12"/>
  <c r="X30" i="12" s="1"/>
  <c r="I67" i="12" l="1"/>
  <c r="O67" i="12"/>
  <c r="R67" i="12"/>
  <c r="L67" i="12"/>
  <c r="I31" i="12"/>
  <c r="L31" i="12" l="1"/>
  <c r="M31" i="12"/>
  <c r="O31" i="12" s="1"/>
  <c r="H67" i="12"/>
  <c r="G67" i="12"/>
  <c r="K67" i="12"/>
  <c r="J67" i="12"/>
  <c r="P67" i="12"/>
  <c r="Q67" i="12"/>
  <c r="N67" i="12"/>
  <c r="M67" i="12"/>
  <c r="T31" i="12" l="1"/>
  <c r="N31" i="12"/>
  <c r="W31" i="12" s="1"/>
  <c r="V31" i="12"/>
  <c r="J31" i="12" l="1"/>
  <c r="K31" i="12" l="1"/>
  <c r="S31" i="12"/>
  <c r="Q31" i="12"/>
  <c r="R31" i="12" l="1"/>
  <c r="Y31" i="12" s="1"/>
  <c r="U31" i="12"/>
  <c r="H32" i="12" s="1"/>
  <c r="P31" i="12"/>
  <c r="X31" i="12" s="1"/>
  <c r="O68" i="12" l="1"/>
  <c r="I68" i="12"/>
  <c r="R68" i="12"/>
  <c r="L68" i="12"/>
  <c r="I32" i="12"/>
  <c r="L32" i="12" l="1"/>
  <c r="M32" i="12"/>
  <c r="O32" i="12" s="1"/>
  <c r="N68" i="12"/>
  <c r="M68" i="12"/>
  <c r="J68" i="12"/>
  <c r="K68" i="12"/>
  <c r="P68" i="12"/>
  <c r="Q68" i="12"/>
  <c r="G68" i="12"/>
  <c r="H68" i="12"/>
  <c r="T32" i="12" l="1"/>
  <c r="N32" i="12"/>
  <c r="W32" i="12" s="1"/>
  <c r="V32" i="12"/>
  <c r="J32" i="12" l="1"/>
  <c r="K32" i="12" l="1"/>
  <c r="S32" i="12"/>
  <c r="Q32" i="12"/>
  <c r="R32" i="12" l="1"/>
  <c r="Y32" i="12" s="1"/>
  <c r="U32" i="12"/>
  <c r="H33" i="12" s="1"/>
  <c r="P32" i="12"/>
  <c r="X32" i="12" s="1"/>
  <c r="I69" i="12" l="1"/>
  <c r="O69" i="12"/>
  <c r="R69" i="12"/>
  <c r="L69" i="12"/>
  <c r="I33" i="12"/>
  <c r="Q69" i="12" l="1"/>
  <c r="P69" i="12"/>
  <c r="N69" i="12"/>
  <c r="M69" i="12"/>
  <c r="K69" i="12"/>
  <c r="J69" i="12"/>
  <c r="L33" i="12"/>
  <c r="M33" i="12"/>
  <c r="O33" i="12" s="1"/>
  <c r="H69" i="12"/>
  <c r="G69" i="12"/>
  <c r="T33" i="12" l="1"/>
  <c r="N33" i="12"/>
  <c r="W33" i="12" s="1"/>
  <c r="V33" i="12"/>
  <c r="J33" i="12" l="1"/>
  <c r="K33" i="12" l="1"/>
  <c r="Q33" i="12"/>
  <c r="S33" i="12"/>
  <c r="R33" i="12" l="1"/>
  <c r="Y33" i="12" s="1"/>
  <c r="U33" i="12"/>
  <c r="H34" i="12" s="1"/>
  <c r="P33" i="12"/>
  <c r="X33" i="12" s="1"/>
  <c r="L70" i="12" l="1"/>
  <c r="R70" i="12"/>
  <c r="I34" i="12"/>
  <c r="I70" i="12"/>
  <c r="O70" i="12"/>
  <c r="M70" i="12" l="1"/>
  <c r="N70" i="12"/>
  <c r="L34" i="12"/>
  <c r="M34" i="12"/>
  <c r="O34" i="12" s="1"/>
  <c r="P70" i="12"/>
  <c r="Q70" i="12"/>
  <c r="H70" i="12"/>
  <c r="G70" i="12"/>
  <c r="J70" i="12"/>
  <c r="K70" i="12"/>
  <c r="T34" i="12" l="1"/>
  <c r="N34" i="12"/>
  <c r="W34" i="12" s="1"/>
  <c r="V34" i="12"/>
  <c r="J34" i="12" l="1"/>
  <c r="K34" i="12" l="1"/>
  <c r="S34" i="12"/>
  <c r="Q34" i="12"/>
  <c r="R34" i="12" l="1"/>
  <c r="Y34" i="12" s="1"/>
  <c r="U34" i="12"/>
  <c r="H35" i="12" s="1"/>
  <c r="P34" i="12"/>
  <c r="X34" i="12" s="1"/>
  <c r="O71" i="12" l="1"/>
  <c r="I71" i="12"/>
  <c r="R71" i="12"/>
  <c r="L71" i="12"/>
  <c r="I35" i="12"/>
  <c r="P71" i="12" l="1"/>
  <c r="Q71" i="12"/>
  <c r="H71" i="12"/>
  <c r="G71" i="12"/>
  <c r="K71" i="12"/>
  <c r="J71" i="12"/>
  <c r="M35" i="12"/>
  <c r="O35" i="12" s="1"/>
  <c r="L35" i="12"/>
  <c r="N71" i="12"/>
  <c r="M71" i="12"/>
  <c r="T35" i="12" l="1"/>
  <c r="N35" i="12"/>
  <c r="W35" i="12" s="1"/>
  <c r="V35" i="12"/>
  <c r="J35" i="12" l="1"/>
  <c r="K35" i="12" l="1"/>
  <c r="S35" i="12"/>
  <c r="Q35" i="12"/>
  <c r="R35" i="12" l="1"/>
  <c r="Y35" i="12" s="1"/>
  <c r="P35" i="12"/>
  <c r="X35" i="12" s="1"/>
  <c r="U35" i="12"/>
  <c r="H36" i="12" s="1"/>
  <c r="O72" i="12" l="1"/>
  <c r="I72" i="12"/>
  <c r="R72" i="12"/>
  <c r="L72" i="12"/>
  <c r="I36" i="12"/>
  <c r="J72" i="12" l="1"/>
  <c r="K72" i="12"/>
  <c r="P72" i="12"/>
  <c r="Q72" i="12"/>
  <c r="G72" i="12"/>
  <c r="H72" i="12"/>
  <c r="L36" i="12"/>
  <c r="M36" i="12"/>
  <c r="O36" i="12" s="1"/>
  <c r="N72" i="12"/>
  <c r="M72" i="12"/>
  <c r="N36" i="12" l="1"/>
  <c r="W36" i="12" s="1"/>
  <c r="T36" i="12"/>
  <c r="V36" i="12"/>
  <c r="J36" i="12" l="1"/>
  <c r="K36" i="12" l="1"/>
  <c r="Q36" i="12"/>
  <c r="S36" i="12"/>
  <c r="U36" i="12" l="1"/>
  <c r="H37" i="12" s="1"/>
  <c r="P36" i="12"/>
  <c r="X36" i="12" s="1"/>
  <c r="R36" i="12"/>
  <c r="Y36" i="12" s="1"/>
  <c r="R73" i="12" l="1"/>
  <c r="L73" i="12"/>
  <c r="O73" i="12"/>
  <c r="I73" i="12"/>
  <c r="I37" i="12"/>
  <c r="H73" i="12" l="1"/>
  <c r="G73" i="12"/>
  <c r="N73" i="12"/>
  <c r="M73" i="12"/>
  <c r="M37" i="12"/>
  <c r="O37" i="12" s="1"/>
  <c r="L37" i="12"/>
  <c r="K73" i="12"/>
  <c r="J73" i="12"/>
  <c r="Q73" i="12"/>
  <c r="P73" i="12"/>
  <c r="T37" i="12" l="1"/>
  <c r="N37" i="12"/>
  <c r="W37" i="12" s="1"/>
  <c r="V37" i="12"/>
  <c r="J37" i="12" l="1"/>
  <c r="K37" i="12" l="1"/>
  <c r="S37" i="12"/>
  <c r="Q37" i="12"/>
  <c r="P37" i="12" l="1"/>
  <c r="X37" i="12" s="1"/>
  <c r="R37" i="12"/>
  <c r="Y37" i="12" s="1"/>
  <c r="U37" i="12"/>
  <c r="H38" i="12" s="1"/>
  <c r="R74" i="12" l="1"/>
  <c r="L74" i="12"/>
  <c r="O74" i="12"/>
  <c r="I74" i="12"/>
  <c r="I38" i="12"/>
  <c r="G74" i="12" l="1"/>
  <c r="H74" i="12"/>
  <c r="N74" i="12"/>
  <c r="M74" i="12"/>
  <c r="M38" i="12"/>
  <c r="O38" i="12" s="1"/>
  <c r="L38" i="12"/>
  <c r="J74" i="12"/>
  <c r="K74" i="12"/>
  <c r="P74" i="12"/>
  <c r="Q74" i="12"/>
  <c r="T38" i="12" l="1"/>
  <c r="N38" i="12"/>
  <c r="W38" i="12" s="1"/>
  <c r="V38" i="12"/>
  <c r="J38" i="12" l="1"/>
  <c r="K38" i="12" l="1"/>
  <c r="S38" i="12"/>
  <c r="Q38" i="12"/>
  <c r="R38" i="12" l="1"/>
  <c r="Y38" i="12" s="1"/>
  <c r="P38" i="12"/>
  <c r="X38" i="12" s="1"/>
  <c r="U38" i="12"/>
  <c r="H39" i="12" s="1"/>
  <c r="I39" i="12" s="1"/>
  <c r="I75" i="12" l="1"/>
  <c r="O75" i="12"/>
  <c r="R75" i="12"/>
  <c r="L75" i="12"/>
  <c r="M39" i="12"/>
  <c r="O39" i="12" s="1"/>
  <c r="L39" i="12"/>
  <c r="K75" i="12" l="1"/>
  <c r="J75" i="12"/>
  <c r="Q75" i="12"/>
  <c r="P75" i="12"/>
  <c r="N75" i="12"/>
  <c r="M75" i="12"/>
  <c r="N39" i="12"/>
  <c r="W39" i="12" s="1"/>
  <c r="T39" i="12"/>
  <c r="J39" i="12" s="1"/>
  <c r="K39" i="12" s="1"/>
  <c r="V39" i="12"/>
  <c r="H75" i="12"/>
  <c r="G75" i="12"/>
  <c r="W41" i="12" l="1"/>
  <c r="W42" i="12" s="1"/>
  <c r="C37" i="12" s="1"/>
  <c r="V41" i="12"/>
  <c r="S39" i="12"/>
  <c r="P39" i="12"/>
  <c r="R39" i="12"/>
  <c r="U39" i="12"/>
  <c r="Q39" i="12"/>
  <c r="V42" i="12" l="1"/>
  <c r="C36" i="12" s="1"/>
  <c r="D36" i="12" s="1"/>
  <c r="B28" i="4" s="1"/>
  <c r="Y39" i="12"/>
  <c r="D37" i="12"/>
  <c r="C39" i="12"/>
  <c r="X39" i="12"/>
  <c r="R76" i="12"/>
  <c r="D45" i="12" l="1"/>
  <c r="Y41" i="12"/>
  <c r="Y42" i="12" s="1"/>
  <c r="C34" i="12" s="1"/>
  <c r="D34" i="12" s="1"/>
  <c r="L76" i="12"/>
  <c r="X41" i="12"/>
  <c r="I76" i="12"/>
  <c r="O76" i="12"/>
  <c r="B29" i="4"/>
  <c r="D47" i="12"/>
  <c r="E41" i="4"/>
  <c r="E55" i="4"/>
  <c r="P76" i="12"/>
  <c r="Q76" i="12"/>
  <c r="D46" i="12"/>
  <c r="D49" i="12"/>
  <c r="D48" i="12" l="1"/>
  <c r="C78" i="12"/>
  <c r="X42" i="12"/>
  <c r="C35" i="12" s="1"/>
  <c r="D35" i="12" s="1"/>
  <c r="C46" i="12" s="1"/>
  <c r="C47" i="12" s="1"/>
  <c r="J76" i="12"/>
  <c r="K76" i="12"/>
  <c r="C45" i="12"/>
  <c r="B26" i="4"/>
  <c r="D41" i="4"/>
  <c r="D55" i="4"/>
  <c r="N76" i="12"/>
  <c r="M76" i="12"/>
  <c r="G76" i="12"/>
  <c r="H76" i="12"/>
  <c r="C79" i="12" l="1"/>
  <c r="D38" i="12"/>
  <c r="C40" i="12" s="1"/>
  <c r="C35" i="2" s="1"/>
  <c r="B27" i="4"/>
  <c r="C41" i="4" s="1"/>
  <c r="B55" i="4"/>
  <c r="B41" i="4"/>
  <c r="C49" i="12"/>
  <c r="C48" i="12"/>
  <c r="C80" i="12" l="1"/>
  <c r="C81" i="12" s="1"/>
  <c r="C55" i="4"/>
  <c r="F55" i="4" s="1"/>
  <c r="B56" i="4" s="1"/>
  <c r="C37" i="2" s="1"/>
  <c r="F41" i="4"/>
  <c r="B42" i="4" s="1"/>
  <c r="C36" i="2" s="1"/>
  <c r="C83" i="12" l="1"/>
  <c r="C84" i="12" s="1"/>
  <c r="C86" i="12" s="1"/>
  <c r="C40" i="2" s="1"/>
  <c r="C43" i="2" s="1"/>
  <c r="C44" i="2" l="1"/>
  <c r="C45" i="2"/>
</calcChain>
</file>

<file path=xl/sharedStrings.xml><?xml version="1.0" encoding="utf-8"?>
<sst xmlns="http://schemas.openxmlformats.org/spreadsheetml/2006/main" count="353" uniqueCount="218">
  <si>
    <t>x</t>
  </si>
  <si>
    <t>y</t>
  </si>
  <si>
    <t>Width of the tunnel (W)</t>
  </si>
  <si>
    <t>Height of the tunnel (H)</t>
  </si>
  <si>
    <t>Location of the observer</t>
  </si>
  <si>
    <t>Dimensions of the tunnel</t>
  </si>
  <si>
    <t>meter</t>
  </si>
  <si>
    <t>Apparent entrance portal</t>
  </si>
  <si>
    <t>Apparent exit portal</t>
  </si>
  <si>
    <t>Distance from the observer to the entrance portal (d1)</t>
  </si>
  <si>
    <t>E</t>
  </si>
  <si>
    <t>F</t>
  </si>
  <si>
    <t>G</t>
  </si>
  <si>
    <t>H</t>
  </si>
  <si>
    <t>E'</t>
  </si>
  <si>
    <t>F'</t>
  </si>
  <si>
    <t>G'</t>
  </si>
  <si>
    <t>H'</t>
  </si>
  <si>
    <t>Vehicle at the apparent entrance portal</t>
  </si>
  <si>
    <t>Distance of the centre to the right of the centre line</t>
  </si>
  <si>
    <t>Point</t>
  </si>
  <si>
    <t>a</t>
  </si>
  <si>
    <t>b</t>
  </si>
  <si>
    <t>c</t>
  </si>
  <si>
    <t>d</t>
  </si>
  <si>
    <t>Observer</t>
  </si>
  <si>
    <t>A*</t>
  </si>
  <si>
    <t>B*</t>
  </si>
  <si>
    <t>C*</t>
  </si>
  <si>
    <t>D*</t>
  </si>
  <si>
    <t xml:space="preserve">Vehicle at apparent entrance portal </t>
  </si>
  <si>
    <t>Vehicle</t>
  </si>
  <si>
    <t>Cyclist</t>
  </si>
  <si>
    <t>max x</t>
  </si>
  <si>
    <t>minx</t>
  </si>
  <si>
    <t>maxy</t>
  </si>
  <si>
    <t>miny</t>
  </si>
  <si>
    <t>Percentages</t>
  </si>
  <si>
    <t>%</t>
  </si>
  <si>
    <t>Cyclist at the apparent entrance portal</t>
  </si>
  <si>
    <t>Range in x</t>
  </si>
  <si>
    <t>x1</t>
  </si>
  <si>
    <t>x2</t>
  </si>
  <si>
    <t>Distance to the apparent entrance portal</t>
  </si>
  <si>
    <t>Observer position</t>
  </si>
  <si>
    <t>z</t>
  </si>
  <si>
    <t>to the right</t>
  </si>
  <si>
    <t>Radii of curve of input</t>
  </si>
  <si>
    <t>z1</t>
  </si>
  <si>
    <t>z2</t>
  </si>
  <si>
    <t>angle of curve</t>
  </si>
  <si>
    <t>radius</t>
  </si>
  <si>
    <t>Co-ordinates in height</t>
  </si>
  <si>
    <t>Co-ordinates in width</t>
  </si>
  <si>
    <t>maxz</t>
  </si>
  <si>
    <t>minz</t>
  </si>
  <si>
    <t>area</t>
  </si>
  <si>
    <t>Location of apparent entrance and exit portals</t>
  </si>
  <si>
    <t>Curves of the tunnel</t>
  </si>
  <si>
    <t>Height above the road surface</t>
  </si>
  <si>
    <t>Distance to the right of the centre line</t>
  </si>
  <si>
    <t>Distance to the entrance portal</t>
  </si>
  <si>
    <t>Height of the tunnel</t>
  </si>
  <si>
    <t>Width of the tunnel</t>
  </si>
  <si>
    <t>Length of the tunnel</t>
  </si>
  <si>
    <t>Radius of curve to the right</t>
  </si>
  <si>
    <t>Height (CR 14380 recommends 1,8)</t>
  </si>
  <si>
    <t>Width (CR 14380 recommends 0,5)</t>
  </si>
  <si>
    <t>Apparent entrance portal (CR 14380 recommends 5,0)</t>
  </si>
  <si>
    <t>Height (CR 14380 recommends 1,6)</t>
  </si>
  <si>
    <t>Width (CR 14380 recommends 1,4)</t>
  </si>
  <si>
    <t>v1</t>
  </si>
  <si>
    <t>v2</t>
  </si>
  <si>
    <t>nr.</t>
  </si>
  <si>
    <t>step</t>
  </si>
  <si>
    <t>length</t>
  </si>
  <si>
    <t>Centre line</t>
  </si>
  <si>
    <t xml:space="preserve">Centre top </t>
  </si>
  <si>
    <t>Point to the left</t>
  </si>
  <si>
    <t>Point to the right</t>
  </si>
  <si>
    <t>indicator</t>
  </si>
  <si>
    <t>lower line</t>
  </si>
  <si>
    <t>upper line</t>
  </si>
  <si>
    <t>Vertical curve radius</t>
  </si>
  <si>
    <t>Horzontal curve radius</t>
  </si>
  <si>
    <t>Tunnel</t>
  </si>
  <si>
    <t>Length</t>
  </si>
  <si>
    <t>Width</t>
  </si>
  <si>
    <t>Height</t>
  </si>
  <si>
    <t>Observer height</t>
  </si>
  <si>
    <t>Observer position to the right</t>
  </si>
  <si>
    <t>Observer distance to the tunnel</t>
  </si>
  <si>
    <t>upwards</t>
  </si>
  <si>
    <t>Projection on entrance portal</t>
  </si>
  <si>
    <t>Diagram</t>
  </si>
  <si>
    <t>Curves of the road in front of the tunnel</t>
  </si>
  <si>
    <t>angle up of the road at the observer</t>
  </si>
  <si>
    <t>left line</t>
  </si>
  <si>
    <t>right line</t>
  </si>
  <si>
    <t>lower left curve</t>
  </si>
  <si>
    <t>lower right curve</t>
  </si>
  <si>
    <t>upper left curve</t>
  </si>
  <si>
    <t>upper right curve</t>
  </si>
  <si>
    <t>Entrance portal and tunnel lines</t>
  </si>
  <si>
    <t>max/min</t>
  </si>
  <si>
    <t>choice</t>
  </si>
  <si>
    <t>Height of observer above the road surface</t>
  </si>
  <si>
    <t>Distance of the observer to the right of the centre line</t>
  </si>
  <si>
    <t>m</t>
  </si>
  <si>
    <t>angle to the right of the road at the observer</t>
  </si>
  <si>
    <t>z coordinate of the middle of the road at the observer</t>
  </si>
  <si>
    <t>y coordinate of the middle of the road at the observer</t>
  </si>
  <si>
    <t>x coordinate at the middle of the road at the observer</t>
  </si>
  <si>
    <t>length along the middle of the road at the observer</t>
  </si>
  <si>
    <t>Range in z</t>
  </si>
  <si>
    <t>Red values are copied from "Short tunnels"</t>
  </si>
  <si>
    <t>x, y and z co-ordinates are shown below</t>
  </si>
  <si>
    <t>Radius of curve upwards</t>
  </si>
  <si>
    <t>Radius of curve upwards to use</t>
  </si>
  <si>
    <t>Radius of curve to the right to use</t>
  </si>
  <si>
    <t>Distances are measured along the centre line of the road</t>
  </si>
  <si>
    <t>distance measured along the centre line of the road</t>
  </si>
  <si>
    <t>steps</t>
  </si>
  <si>
    <t>In these steps the y co-ordinalte is adjusted to provide the right distance, see line 16</t>
  </si>
  <si>
    <t>x coordinate of the observer</t>
  </si>
  <si>
    <t>y coordinate of the observer</t>
  </si>
  <si>
    <t>z coordinate of the observer</t>
  </si>
  <si>
    <t>the results are the x, y and z values at the middle of the road at the observer</t>
  </si>
  <si>
    <t>and the angles of curve at this location</t>
  </si>
  <si>
    <t>final location of the observer</t>
  </si>
  <si>
    <t>z1 of projection at entrance portal</t>
  </si>
  <si>
    <t>z2 of projection at entrance portal</t>
  </si>
  <si>
    <t>x1 of projection at entrance portal</t>
  </si>
  <si>
    <t>x2 of projection at entrance portal</t>
  </si>
  <si>
    <t>x1 right side</t>
  </si>
  <si>
    <t>x2 left side</t>
  </si>
  <si>
    <t>y1 right side side</t>
  </si>
  <si>
    <t>y2 left side</t>
  </si>
  <si>
    <t>z1 lower edge</t>
  </si>
  <si>
    <t>z2 upper edge</t>
  </si>
  <si>
    <t>y1 lower edge</t>
  </si>
  <si>
    <t>y2 upper edge</t>
  </si>
  <si>
    <t>Fitting within entrance portal</t>
  </si>
  <si>
    <t>Projected area</t>
  </si>
  <si>
    <t>Direct calculation</t>
  </si>
  <si>
    <t>The warning in "Short tunnels" is released if the second value is smaller than the first</t>
  </si>
  <si>
    <t>Plotting points for the diagram in "Short tunnels"</t>
  </si>
  <si>
    <t>Tunnel height</t>
  </si>
  <si>
    <t>Tunnel width</t>
  </si>
  <si>
    <t>Length from entrance portal to apparent exit portal</t>
  </si>
  <si>
    <t>Distance to apparent entrance portal</t>
  </si>
  <si>
    <t>Distance to apparent exit portal</t>
  </si>
  <si>
    <t>Observer location to the right</t>
  </si>
  <si>
    <t>Observer distance from the tunnel</t>
  </si>
  <si>
    <t>vertical curve radius to use</t>
  </si>
  <si>
    <t>Horizontal curve radius to use</t>
  </si>
  <si>
    <t>Blue values are copied from "Location of the observer"</t>
  </si>
  <si>
    <t>In each of these, the local portal is determined and projected on the entrance portal</t>
  </si>
  <si>
    <t>The distance from the tunnel entrance to the apparent tunnel exit is covered in 30 steps</t>
  </si>
  <si>
    <t>Only the heights and widths are determined, heights by means of centre line on the road and centre line at the top</t>
  </si>
  <si>
    <t>s</t>
  </si>
  <si>
    <t xml:space="preserve">The steps in y are corrected so that the steps in s are uniform and the last step is at the correct distance </t>
  </si>
  <si>
    <t>Green values are copied from "Apparent entrance portal"</t>
  </si>
  <si>
    <t>x1 at apparent exit portal</t>
  </si>
  <si>
    <t>x2 at apparent exit portal</t>
  </si>
  <si>
    <t>z1 at apparent exit portal</t>
  </si>
  <si>
    <t>z2 at apparent exit portal</t>
  </si>
  <si>
    <t>x1 at apparent entrance portal</t>
  </si>
  <si>
    <t>x2 at apparent entrance portal</t>
  </si>
  <si>
    <t>z1 at apparent entrance portal</t>
  </si>
  <si>
    <t>z2 at apparent entrance portel</t>
  </si>
  <si>
    <t>Area</t>
  </si>
  <si>
    <t>LTP</t>
  </si>
  <si>
    <t>title</t>
  </si>
  <si>
    <t>Title in the diagram:</t>
  </si>
  <si>
    <t>Title:</t>
  </si>
  <si>
    <t>Title in he diagram of "Short tunnels":</t>
  </si>
  <si>
    <t>vehicle height</t>
  </si>
  <si>
    <t>vehicle width</t>
  </si>
  <si>
    <t>distance of the centre to the right of the centre line</t>
  </si>
  <si>
    <t>cyclist height</t>
  </si>
  <si>
    <t>cylist width</t>
  </si>
  <si>
    <t>Cyclist at apparent entrance portal</t>
  </si>
  <si>
    <t>Green values are copied from "Apparent exit portal"</t>
  </si>
  <si>
    <t>percentage backlight</t>
  </si>
  <si>
    <t>projected co-ordinates and area</t>
  </si>
  <si>
    <t>projected co-ordinates and area within the apparent exit portal</t>
  </si>
  <si>
    <t>Title in the diagram</t>
  </si>
  <si>
    <t>factor for x</t>
  </si>
  <si>
    <t>factor for z</t>
  </si>
  <si>
    <t>centre for x</t>
  </si>
  <si>
    <t>Plotting points for the edges of the tunnel</t>
  </si>
  <si>
    <t>Plotting points for the apparent exit portal</t>
  </si>
  <si>
    <t>The vehicle and the cylist are fixed relative to the apparent entrance tunnel, with the dimensions is has in the projection on the entrance portal.</t>
  </si>
  <si>
    <t>This involves a centre for x and factors for both x and z. Thise may be equal, but can have different values.</t>
  </si>
  <si>
    <t>The dimensions are the ranges i x and z, they are values without fitting within the entrnace portal.</t>
  </si>
  <si>
    <t>Field of view of the apparent exit portal</t>
  </si>
  <si>
    <t>Reduced width</t>
  </si>
  <si>
    <t>Distance</t>
  </si>
  <si>
    <t>Diameter of circle with the same area</t>
  </si>
  <si>
    <t>m2</t>
  </si>
  <si>
    <t>Equivalent angle</t>
  </si>
  <si>
    <t>degree</t>
  </si>
  <si>
    <t>degrees</t>
  </si>
  <si>
    <t>Cyclist backlight (CR 14380 recommends 30 %)</t>
  </si>
  <si>
    <t>Look Through Percentage (CR 14380 recommends 50 %)</t>
  </si>
  <si>
    <t>Vehicle backlight (CR 14380 recommends 30 %)</t>
  </si>
  <si>
    <t>Equivalent angle of exit portal</t>
  </si>
  <si>
    <t>Modified percentages</t>
  </si>
  <si>
    <t>Apparent exit portal (CR 14380 recommends 10,0)</t>
  </si>
  <si>
    <t>Radius of curve to the right *)</t>
  </si>
  <si>
    <t>DIN 67524-1 **)  recommends 2,0 degrees</t>
  </si>
  <si>
    <t>**) DIN 67524-1:2019 ”Beleuchtung von Straßentunneln und Unterführungen – Teil 1: Allgemeine Gütemerkmale und Richtwerte”</t>
  </si>
  <si>
    <t>*) Negative values produce opposite curve while zero produces no curve</t>
  </si>
  <si>
    <t>Radius of upwards curve     *)</t>
  </si>
  <si>
    <t>Factor of perspektive</t>
  </si>
  <si>
    <t>corrected area</t>
  </si>
  <si>
    <t>¨¨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</si>
</sst>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10" x14ac:knownFonts="1">
    <font>
      <sz val="10"/>
      <name val="Arial"/>
    </font>
    <font>
      <sz val="8"/>
      <name val="Arial"/>
    </font>
    <font>
      <sz val="10"/>
      <color indexed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10"/>
      <color indexed="17"/>
      <name val="Arial"/>
    </font>
    <font>
      <sz val="10"/>
      <color indexed="1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/>
    </xf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166" fontId="4" fillId="0" borderId="9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left"/>
    </xf>
    <xf numFmtId="166" fontId="4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8" fillId="0" borderId="0" xfId="0" applyFont="1"/>
    <xf numFmtId="0" fontId="7" fillId="0" borderId="0" xfId="0" applyFont="1"/>
    <xf numFmtId="2" fontId="0" fillId="0" borderId="0" xfId="0" applyNumberFormat="1" applyAlignment="1">
      <alignment horizontal="right"/>
    </xf>
    <xf numFmtId="0" fontId="9" fillId="0" borderId="0" xfId="0" applyFont="1"/>
    <xf numFmtId="0" fontId="4" fillId="0" borderId="11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 applyAlignment="1">
      <alignment horizontal="right"/>
    </xf>
    <xf numFmtId="2" fontId="3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48094557597559E-2"/>
          <c:y val="4.7863327763300892E-2"/>
          <c:w val="0.94471209289086733"/>
          <c:h val="0.86666811342834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'Entrance portal'!$C$25</c:f>
              <c:strCache>
                <c:ptCount val="1"/>
                <c:pt idx="0">
                  <c:v>Entrance portal and tunnel lines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'Entrance portal'!$C$20:$C$24</c:f>
              <c:numCache>
                <c:formatCode>0.00</c:formatCode>
                <c:ptCount val="5"/>
                <c:pt idx="0">
                  <c:v>4</c:v>
                </c:pt>
                <c:pt idx="1">
                  <c:v>-4</c:v>
                </c:pt>
                <c:pt idx="2">
                  <c:v>-4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'Entrance portal'!$D$20:$D$24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4A-4954-ADE5-95D833D3DB17}"/>
            </c:ext>
          </c:extLst>
        </c:ser>
        <c:ser>
          <c:idx val="1"/>
          <c:order val="1"/>
          <c:tx>
            <c:strRef>
              <c:f>'Apparent entrance portal'!$C$49</c:f>
              <c:strCache>
                <c:ptCount val="1"/>
                <c:pt idx="0">
                  <c:v>Apparent entrance portal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'Apparent entrance portal'!$C$44:$C$48</c:f>
              <c:numCache>
                <c:formatCode>0.000</c:formatCode>
                <c:ptCount val="5"/>
                <c:pt idx="0">
                  <c:v>3.9361702602456332</c:v>
                </c:pt>
                <c:pt idx="1">
                  <c:v>-3.8936169735936783</c:v>
                </c:pt>
                <c:pt idx="2">
                  <c:v>-3.8936169735936783</c:v>
                </c:pt>
                <c:pt idx="3">
                  <c:v>3.9361702602456332</c:v>
                </c:pt>
                <c:pt idx="4">
                  <c:v>3.9361702602456332</c:v>
                </c:pt>
              </c:numCache>
            </c:numRef>
          </c:xVal>
          <c:yVal>
            <c:numRef>
              <c:f>'Apparent entrance portal'!$D$44:$D$48</c:f>
              <c:numCache>
                <c:formatCode>0.000</c:formatCode>
                <c:ptCount val="5"/>
                <c:pt idx="0">
                  <c:v>3.1648954338939259E-2</c:v>
                </c:pt>
                <c:pt idx="1">
                  <c:v>3.1648954338939259E-2</c:v>
                </c:pt>
                <c:pt idx="2">
                  <c:v>5.8981693159578237</c:v>
                </c:pt>
                <c:pt idx="3">
                  <c:v>5.8981693159578237</c:v>
                </c:pt>
                <c:pt idx="4">
                  <c:v>3.1648954338939259E-2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A-4954-ADE5-95D833D3DB17}"/>
            </c:ext>
          </c:extLst>
        </c:ser>
        <c:ser>
          <c:idx val="2"/>
          <c:order val="2"/>
          <c:tx>
            <c:strRef>
              <c:f>'Apparent exit portal'!$C$50</c:f>
              <c:strCache>
                <c:ptCount val="1"/>
                <c:pt idx="0">
                  <c:v>Apparent exit portal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'Apparent exit portal'!$C$45:$C$49</c:f>
              <c:numCache>
                <c:formatCode>0.00</c:formatCode>
                <c:ptCount val="5"/>
                <c:pt idx="0">
                  <c:v>3.2999220764286377</c:v>
                </c:pt>
                <c:pt idx="1">
                  <c:v>-2.8337035023723081</c:v>
                </c:pt>
                <c:pt idx="2">
                  <c:v>-2.8337035023723081</c:v>
                </c:pt>
                <c:pt idx="3">
                  <c:v>3.2999220764286377</c:v>
                </c:pt>
                <c:pt idx="4">
                  <c:v>3.2999220764286377</c:v>
                </c:pt>
              </c:numCache>
            </c:numRef>
          </c:xVal>
          <c:yVal>
            <c:numRef>
              <c:f>'Apparent exit portal'!$D$45:$D$49</c:f>
              <c:numCache>
                <c:formatCode>0.00</c:formatCode>
                <c:ptCount val="5"/>
                <c:pt idx="0">
                  <c:v>1.2190723265399599</c:v>
                </c:pt>
                <c:pt idx="1">
                  <c:v>1.2190723265399599</c:v>
                </c:pt>
                <c:pt idx="2">
                  <c:v>5.6304232686915316</c:v>
                </c:pt>
                <c:pt idx="3">
                  <c:v>5.6304232686915316</c:v>
                </c:pt>
                <c:pt idx="4">
                  <c:v>1.2190723265399599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4A-4954-ADE5-95D833D3DB17}"/>
            </c:ext>
          </c:extLst>
        </c:ser>
        <c:ser>
          <c:idx val="3"/>
          <c:order val="3"/>
          <c:tx>
            <c:strRef>
              <c:f>'Vehicle and cyclist'!$B$51</c:f>
              <c:strCache>
                <c:ptCount val="1"/>
                <c:pt idx="0">
                  <c:v>Vehicle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'Vehicle and cyclist'!$B$33:$B$37</c:f>
              <c:numCache>
                <c:formatCode>0.00</c:formatCode>
                <c:ptCount val="5"/>
                <c:pt idx="0">
                  <c:v>1.0489362177673871</c:v>
                </c:pt>
                <c:pt idx="1">
                  <c:v>2.4191489836892668</c:v>
                </c:pt>
                <c:pt idx="2">
                  <c:v>2.4191489836892668</c:v>
                </c:pt>
                <c:pt idx="3">
                  <c:v>1.0489362177673871</c:v>
                </c:pt>
                <c:pt idx="4">
                  <c:v>1.0489362177673871</c:v>
                </c:pt>
              </c:numCache>
            </c:numRef>
          </c:xVal>
          <c:yVal>
            <c:numRef>
              <c:f>'Vehicle and cyclist'!$C$33:$C$37</c:f>
              <c:numCache>
                <c:formatCode>0.00</c:formatCode>
                <c:ptCount val="5"/>
                <c:pt idx="0">
                  <c:v>3.1648954338939259E-2</c:v>
                </c:pt>
                <c:pt idx="1">
                  <c:v>3.1648954338939259E-2</c:v>
                </c:pt>
                <c:pt idx="2">
                  <c:v>1.5960543841039752</c:v>
                </c:pt>
                <c:pt idx="3">
                  <c:v>1.5960543841039752</c:v>
                </c:pt>
                <c:pt idx="4">
                  <c:v>3.1648954338939259E-2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4A-4954-ADE5-95D833D3DB17}"/>
            </c:ext>
          </c:extLst>
        </c:ser>
        <c:ser>
          <c:idx val="4"/>
          <c:order val="4"/>
          <c:tx>
            <c:strRef>
              <c:f>'Vehicle and cyclist'!$B$57</c:f>
              <c:strCache>
                <c:ptCount val="1"/>
                <c:pt idx="0">
                  <c:v>Cyclist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'Vehicle and cyclist'!$B$46:$B$50</c:f>
              <c:numCache>
                <c:formatCode>0.00</c:formatCode>
                <c:ptCount val="5"/>
                <c:pt idx="0">
                  <c:v>2.7127660049582412</c:v>
                </c:pt>
                <c:pt idx="1">
                  <c:v>3.2021277070731982</c:v>
                </c:pt>
                <c:pt idx="2">
                  <c:v>3.2021277070731982</c:v>
                </c:pt>
                <c:pt idx="3">
                  <c:v>2.7127660049582412</c:v>
                </c:pt>
                <c:pt idx="4">
                  <c:v>2.7127660049582412</c:v>
                </c:pt>
              </c:numCache>
            </c:numRef>
          </c:xVal>
          <c:yVal>
            <c:numRef>
              <c:f>'Vehicle and cyclist'!$C$46:$C$50</c:f>
              <c:numCache>
                <c:formatCode>0.00</c:formatCode>
                <c:ptCount val="5"/>
                <c:pt idx="0">
                  <c:v>3.1648954338939259E-2</c:v>
                </c:pt>
                <c:pt idx="1">
                  <c:v>3.1648954338939259E-2</c:v>
                </c:pt>
                <c:pt idx="2">
                  <c:v>1.7916050628246047</c:v>
                </c:pt>
                <c:pt idx="3">
                  <c:v>1.7916050628246047</c:v>
                </c:pt>
                <c:pt idx="4">
                  <c:v>3.1648954338939259E-2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4A-4954-ADE5-95D833D3DB17}"/>
            </c:ext>
          </c:extLst>
        </c:ser>
        <c:ser>
          <c:idx val="5"/>
          <c:order val="5"/>
          <c:tx>
            <c:strRef>
              <c:f>'Location of the observer'!$C$27</c:f>
              <c:strCache>
                <c:ptCount val="1"/>
                <c:pt idx="0">
                  <c:v>Observer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'Location of the observer'!$E$23</c:f>
              <c:numCache>
                <c:formatCode>0.00</c:formatCode>
                <c:ptCount val="1"/>
                <c:pt idx="0">
                  <c:v>1.0000022204460495</c:v>
                </c:pt>
              </c:numCache>
            </c:numRef>
          </c:xVal>
          <c:yVal>
            <c:numRef>
              <c:f>'Location of the observer'!$E$25</c:f>
              <c:numCache>
                <c:formatCode>0.000</c:formatCode>
                <c:ptCount val="1"/>
                <c:pt idx="0">
                  <c:v>1.2000022204460488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4A-4954-ADE5-95D833D3DB17}"/>
            </c:ext>
          </c:extLst>
        </c:ser>
        <c:ser>
          <c:idx val="6"/>
          <c:order val="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'Apparent exit portal'!$H$46:$H$77</c:f>
              <c:numCache>
                <c:formatCode>0.00</c:formatCode>
                <c:ptCount val="32"/>
                <c:pt idx="0">
                  <c:v>-4</c:v>
                </c:pt>
                <c:pt idx="1">
                  <c:v>-3.9497850700887298</c:v>
                </c:pt>
                <c:pt idx="2">
                  <c:v>-3.9005693297588699</c:v>
                </c:pt>
                <c:pt idx="3">
                  <c:v>-3.852323331896562</c:v>
                </c:pt>
                <c:pt idx="4">
                  <c:v>-3.805018773608984</c:v>
                </c:pt>
                <c:pt idx="5">
                  <c:v>-3.7586284438404887</c:v>
                </c:pt>
                <c:pt idx="6">
                  <c:v>-3.7131261681365002</c:v>
                </c:pt>
                <c:pt idx="7">
                  <c:v>-3.6684867627602347</c:v>
                </c:pt>
                <c:pt idx="8">
                  <c:v>-3.6246859883063376</c:v>
                </c:pt>
                <c:pt idx="9">
                  <c:v>-3.5817005028445794</c:v>
                </c:pt>
                <c:pt idx="10">
                  <c:v>-3.5395078236958928</c:v>
                </c:pt>
                <c:pt idx="11">
                  <c:v>-3.4980862883007235</c:v>
                </c:pt>
                <c:pt idx="12">
                  <c:v>-3.4574150142373941</c:v>
                </c:pt>
                <c:pt idx="13">
                  <c:v>-3.4174738672718781</c:v>
                </c:pt>
                <c:pt idx="14">
                  <c:v>-3.3782434272182851</c:v>
                </c:pt>
                <c:pt idx="15">
                  <c:v>-3.3397049565631662</c:v>
                </c:pt>
                <c:pt idx="16">
                  <c:v>-3.3018403716850027</c:v>
                </c:pt>
                <c:pt idx="17">
                  <c:v>-3.2646322108303334</c:v>
                </c:pt>
                <c:pt idx="18">
                  <c:v>-3.228063614062235</c:v>
                </c:pt>
                <c:pt idx="19">
                  <c:v>-3.1921182902673557</c:v>
                </c:pt>
                <c:pt idx="20">
                  <c:v>-3.1567805005975278</c:v>
                </c:pt>
                <c:pt idx="21">
                  <c:v>-3.12203502809612</c:v>
                </c:pt>
                <c:pt idx="22">
                  <c:v>-3.0878671624486649</c:v>
                </c:pt>
                <c:pt idx="23">
                  <c:v>-3.0542626755820685</c:v>
                </c:pt>
                <c:pt idx="24">
                  <c:v>-3.0212078020278343</c:v>
                </c:pt>
                <c:pt idx="25">
                  <c:v>-2.9886892228939681</c:v>
                </c:pt>
                <c:pt idx="26">
                  <c:v>-2.9566940453361776</c:v>
                </c:pt>
                <c:pt idx="27">
                  <c:v>-2.9252097856230455</c:v>
                </c:pt>
                <c:pt idx="28">
                  <c:v>-2.8942243547318971</c:v>
                </c:pt>
                <c:pt idx="29">
                  <c:v>-2.8637260429051161</c:v>
                </c:pt>
                <c:pt idx="30">
                  <c:v>-2.8337035023723081</c:v>
                </c:pt>
              </c:numCache>
            </c:numRef>
          </c:xVal>
          <c:yVal>
            <c:numRef>
              <c:f>'Apparent exit portal'!$G$46:$G$77</c:f>
              <c:numCache>
                <c:formatCode>0.00</c:formatCode>
                <c:ptCount val="32"/>
                <c:pt idx="0">
                  <c:v>0</c:v>
                </c:pt>
                <c:pt idx="1">
                  <c:v>1.339911079036207E-2</c:v>
                </c:pt>
                <c:pt idx="2">
                  <c:v>2.9199832182387545E-2</c:v>
                </c:pt>
                <c:pt idx="3">
                  <c:v>4.733120976058084E-2</c:v>
                </c:pt>
                <c:pt idx="4">
                  <c:v>6.7725054497891721E-2</c:v>
                </c:pt>
                <c:pt idx="5">
                  <c:v>9.031580887936265E-2</c:v>
                </c:pt>
                <c:pt idx="6">
                  <c:v>0.11504042133852367</c:v>
                </c:pt>
                <c:pt idx="7">
                  <c:v>0.14183822781693886</c:v>
                </c:pt>
                <c:pt idx="8">
                  <c:v>0.17065083997896002</c:v>
                </c:pt>
                <c:pt idx="9">
                  <c:v>0.20142203964704908</c:v>
                </c:pt>
                <c:pt idx="10">
                  <c:v>0.23409767906144496</c:v>
                </c:pt>
                <c:pt idx="11">
                  <c:v>0.26862558658823027</c:v>
                </c:pt>
                <c:pt idx="12">
                  <c:v>0.30495547753630542</c:v>
                </c:pt>
                <c:pt idx="13">
                  <c:v>0.34303886975865505</c:v>
                </c:pt>
                <c:pt idx="14">
                  <c:v>0.38282900374564888</c:v>
                </c:pt>
                <c:pt idx="15">
                  <c:v>0.42428076692999539</c:v>
                </c:pt>
                <c:pt idx="16">
                  <c:v>0.46735062194938126</c:v>
                </c:pt>
                <c:pt idx="17">
                  <c:v>0.51199653862526673</c:v>
                </c:pt>
                <c:pt idx="18">
                  <c:v>0.55817792943698064</c:v>
                </c:pt>
                <c:pt idx="19">
                  <c:v>0.60585558828320929</c:v>
                </c:pt>
                <c:pt idx="20">
                  <c:v>0.65499163233531765</c:v>
                </c:pt>
                <c:pt idx="21">
                  <c:v>0.70554944680329046</c:v>
                </c:pt>
                <c:pt idx="22">
                  <c:v>0.75749363244714141</c:v>
                </c:pt>
                <c:pt idx="23">
                  <c:v>0.81078995567166401</c:v>
                </c:pt>
                <c:pt idx="24">
                  <c:v>0.86540530106118674</c:v>
                </c:pt>
                <c:pt idx="25">
                  <c:v>0.92130762621511586</c:v>
                </c:pt>
                <c:pt idx="26">
                  <c:v>0.9784659187537964</c:v>
                </c:pt>
                <c:pt idx="27">
                  <c:v>1.0368501553767104</c:v>
                </c:pt>
                <c:pt idx="28">
                  <c:v>1.0964312628569335</c:v>
                </c:pt>
                <c:pt idx="29">
                  <c:v>1.1571810808675027</c:v>
                </c:pt>
                <c:pt idx="30">
                  <c:v>1.2190723265399599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4A-4954-ADE5-95D833D3DB17}"/>
            </c:ext>
          </c:extLst>
        </c:ser>
        <c:ser>
          <c:idx val="7"/>
          <c:order val="7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'Apparent exit portal'!$K$46:$K$77</c:f>
              <c:numCache>
                <c:formatCode>0.00</c:formatCode>
                <c:ptCount val="32"/>
                <c:pt idx="0">
                  <c:v>4</c:v>
                </c:pt>
                <c:pt idx="1">
                  <c:v>3.9698706230354381</c:v>
                </c:pt>
                <c:pt idx="2">
                  <c:v>3.9403399137757198</c:v>
                </c:pt>
                <c:pt idx="3">
                  <c:v>3.911390230651167</c:v>
                </c:pt>
                <c:pt idx="4">
                  <c:v>3.8830046158767804</c:v>
                </c:pt>
                <c:pt idx="5">
                  <c:v>3.8551667641544554</c:v>
                </c:pt>
                <c:pt idx="6">
                  <c:v>3.8278609946795661</c:v>
                </c:pt>
                <c:pt idx="7">
                  <c:v>3.8010722185152077</c:v>
                </c:pt>
                <c:pt idx="8">
                  <c:v>3.7747859108805173</c:v>
                </c:pt>
                <c:pt idx="9">
                  <c:v>3.7489880880335673</c:v>
                </c:pt>
                <c:pt idx="10">
                  <c:v>3.7236652793810388</c:v>
                </c:pt>
                <c:pt idx="11">
                  <c:v>3.698804504108764</c:v>
                </c:pt>
                <c:pt idx="12">
                  <c:v>3.6743932520470675</c:v>
                </c:pt>
                <c:pt idx="13">
                  <c:v>3.6504194596776056</c:v>
                </c:pt>
                <c:pt idx="14">
                  <c:v>3.6268714913054612</c:v>
                </c:pt>
                <c:pt idx="15">
                  <c:v>3.6037381202603234</c:v>
                </c:pt>
                <c:pt idx="16">
                  <c:v>3.5810085101250833</c:v>
                </c:pt>
                <c:pt idx="17">
                  <c:v>3.5586722016718237</c:v>
                </c:pt>
                <c:pt idx="18">
                  <c:v>3.536719090141808</c:v>
                </c:pt>
                <c:pt idx="19">
                  <c:v>3.5151394176456399</c:v>
                </c:pt>
                <c:pt idx="20">
                  <c:v>3.4939237511791226</c:v>
                </c:pt>
                <c:pt idx="21">
                  <c:v>3.4730629763849223</c:v>
                </c:pt>
                <c:pt idx="22">
                  <c:v>3.4525482780085448</c:v>
                </c:pt>
                <c:pt idx="23">
                  <c:v>3.4323711312198681</c:v>
                </c:pt>
                <c:pt idx="24">
                  <c:v>3.4125232897870137</c:v>
                </c:pt>
                <c:pt idx="25">
                  <c:v>3.3929967721665277</c:v>
                </c:pt>
                <c:pt idx="26">
                  <c:v>3.3737838535337135</c:v>
                </c:pt>
                <c:pt idx="27">
                  <c:v>3.3548770555783163</c:v>
                </c:pt>
                <c:pt idx="28">
                  <c:v>3.3362691350538025</c:v>
                </c:pt>
                <c:pt idx="29">
                  <c:v>3.3179530745801311</c:v>
                </c:pt>
                <c:pt idx="30">
                  <c:v>3.2999220764286377</c:v>
                </c:pt>
              </c:numCache>
            </c:numRef>
          </c:xVal>
          <c:yVal>
            <c:numRef>
              <c:f>'Apparent exit portal'!$J$46:$J$77</c:f>
              <c:numCache>
                <c:formatCode>0.00</c:formatCode>
                <c:ptCount val="32"/>
                <c:pt idx="0">
                  <c:v>0</c:v>
                </c:pt>
                <c:pt idx="1">
                  <c:v>1.339911079036207E-2</c:v>
                </c:pt>
                <c:pt idx="2">
                  <c:v>2.9199832182387545E-2</c:v>
                </c:pt>
                <c:pt idx="3">
                  <c:v>4.733120976058084E-2</c:v>
                </c:pt>
                <c:pt idx="4">
                  <c:v>6.7725054497891721E-2</c:v>
                </c:pt>
                <c:pt idx="5">
                  <c:v>9.031580887936265E-2</c:v>
                </c:pt>
                <c:pt idx="6">
                  <c:v>0.11504042133852367</c:v>
                </c:pt>
                <c:pt idx="7">
                  <c:v>0.14183822781693886</c:v>
                </c:pt>
                <c:pt idx="8">
                  <c:v>0.17065083997896002</c:v>
                </c:pt>
                <c:pt idx="9">
                  <c:v>0.20142203964704908</c:v>
                </c:pt>
                <c:pt idx="10">
                  <c:v>0.23409767906144496</c:v>
                </c:pt>
                <c:pt idx="11">
                  <c:v>0.26862558658823027</c:v>
                </c:pt>
                <c:pt idx="12">
                  <c:v>0.30495547753630542</c:v>
                </c:pt>
                <c:pt idx="13">
                  <c:v>0.34303886975865505</c:v>
                </c:pt>
                <c:pt idx="14">
                  <c:v>0.38282900374564888</c:v>
                </c:pt>
                <c:pt idx="15">
                  <c:v>0.42428076692999539</c:v>
                </c:pt>
                <c:pt idx="16">
                  <c:v>0.46735062194938126</c:v>
                </c:pt>
                <c:pt idx="17">
                  <c:v>0.51199653862526673</c:v>
                </c:pt>
                <c:pt idx="18">
                  <c:v>0.55817792943698064</c:v>
                </c:pt>
                <c:pt idx="19">
                  <c:v>0.60585558828320929</c:v>
                </c:pt>
                <c:pt idx="20">
                  <c:v>0.65499163233531765</c:v>
                </c:pt>
                <c:pt idx="21">
                  <c:v>0.70554944680329046</c:v>
                </c:pt>
                <c:pt idx="22">
                  <c:v>0.75749363244714141</c:v>
                </c:pt>
                <c:pt idx="23">
                  <c:v>0.81078995567166401</c:v>
                </c:pt>
                <c:pt idx="24">
                  <c:v>0.86540530106118674</c:v>
                </c:pt>
                <c:pt idx="25">
                  <c:v>0.92130762621511586</c:v>
                </c:pt>
                <c:pt idx="26">
                  <c:v>0.9784659187537964</c:v>
                </c:pt>
                <c:pt idx="27">
                  <c:v>1.0368501553767104</c:v>
                </c:pt>
                <c:pt idx="28">
                  <c:v>1.0964312628569335</c:v>
                </c:pt>
                <c:pt idx="29">
                  <c:v>1.1571810808675027</c:v>
                </c:pt>
                <c:pt idx="30">
                  <c:v>1.2190723265399599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4A-4954-ADE5-95D833D3DB17}"/>
            </c:ext>
          </c:extLst>
        </c:ser>
        <c:ser>
          <c:idx val="8"/>
          <c:order val="8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'Apparent exit portal'!$N$46:$N$77</c:f>
              <c:numCache>
                <c:formatCode>0.00</c:formatCode>
                <c:ptCount val="32"/>
                <c:pt idx="0">
                  <c:v>-4</c:v>
                </c:pt>
                <c:pt idx="1">
                  <c:v>-3.9497850700887298</c:v>
                </c:pt>
                <c:pt idx="2">
                  <c:v>-3.9005693297588699</c:v>
                </c:pt>
                <c:pt idx="3">
                  <c:v>-3.852323331896562</c:v>
                </c:pt>
                <c:pt idx="4">
                  <c:v>-3.805018773608984</c:v>
                </c:pt>
                <c:pt idx="5">
                  <c:v>-3.7586284438404887</c:v>
                </c:pt>
                <c:pt idx="6">
                  <c:v>-3.7131261681365002</c:v>
                </c:pt>
                <c:pt idx="7">
                  <c:v>-3.6684867627602347</c:v>
                </c:pt>
                <c:pt idx="8">
                  <c:v>-3.6246859883063376</c:v>
                </c:pt>
                <c:pt idx="9">
                  <c:v>-3.5817005028445794</c:v>
                </c:pt>
                <c:pt idx="10">
                  <c:v>-3.5395078236958928</c:v>
                </c:pt>
                <c:pt idx="11">
                  <c:v>-3.4980862883007235</c:v>
                </c:pt>
                <c:pt idx="12">
                  <c:v>-3.4574150142373941</c:v>
                </c:pt>
                <c:pt idx="13">
                  <c:v>-3.4174738672718781</c:v>
                </c:pt>
                <c:pt idx="14">
                  <c:v>-3.3782434272182851</c:v>
                </c:pt>
                <c:pt idx="15">
                  <c:v>-3.3397049565631662</c:v>
                </c:pt>
                <c:pt idx="16">
                  <c:v>-3.3018403716850027</c:v>
                </c:pt>
                <c:pt idx="17">
                  <c:v>-3.2646322108303334</c:v>
                </c:pt>
                <c:pt idx="18">
                  <c:v>-3.2646322108303334</c:v>
                </c:pt>
                <c:pt idx="19">
                  <c:v>-3.2646322108303334</c:v>
                </c:pt>
                <c:pt idx="20">
                  <c:v>-3.2646322108303334</c:v>
                </c:pt>
                <c:pt idx="21">
                  <c:v>-3.2646322108303334</c:v>
                </c:pt>
                <c:pt idx="22">
                  <c:v>-3.2646322108303334</c:v>
                </c:pt>
                <c:pt idx="23">
                  <c:v>-3.2646322108303334</c:v>
                </c:pt>
                <c:pt idx="24">
                  <c:v>-3.2646322108303334</c:v>
                </c:pt>
                <c:pt idx="25">
                  <c:v>-3.2646322108303334</c:v>
                </c:pt>
                <c:pt idx="26">
                  <c:v>-3.2646322108303334</c:v>
                </c:pt>
                <c:pt idx="27">
                  <c:v>-3.2646322108303334</c:v>
                </c:pt>
                <c:pt idx="28">
                  <c:v>-3.2646322108303334</c:v>
                </c:pt>
                <c:pt idx="29">
                  <c:v>-3.2646322108303334</c:v>
                </c:pt>
                <c:pt idx="30">
                  <c:v>-3.2646322108303334</c:v>
                </c:pt>
              </c:numCache>
            </c:numRef>
          </c:xVal>
          <c:yVal>
            <c:numRef>
              <c:f>'Apparent exit portal'!$M$46:$M$77</c:f>
              <c:numCache>
                <c:formatCode>0.00</c:formatCode>
                <c:ptCount val="32"/>
                <c:pt idx="0">
                  <c:v>6</c:v>
                </c:pt>
                <c:pt idx="1">
                  <c:v>5.9532800444132663</c:v>
                </c:pt>
                <c:pt idx="2">
                  <c:v>5.9101467473212308</c:v>
                </c:pt>
                <c:pt idx="3">
                  <c:v>5.8704945402362227</c:v>
                </c:pt>
                <c:pt idx="4">
                  <c:v>5.8342219518269527</c:v>
                </c:pt>
                <c:pt idx="5">
                  <c:v>5.8012314137297922</c:v>
                </c:pt>
                <c:pt idx="6">
                  <c:v>5.7714290748474566</c:v>
                </c:pt>
                <c:pt idx="7">
                  <c:v>5.744724626151994</c:v>
                </c:pt>
                <c:pt idx="8">
                  <c:v>5.7210311353043695</c:v>
                </c:pt>
                <c:pt idx="9">
                  <c:v>5.7002648904525399</c:v>
                </c:pt>
                <c:pt idx="10">
                  <c:v>5.6823452526230049</c:v>
                </c:pt>
                <c:pt idx="11">
                  <c:v>5.6671945161548951</c:v>
                </c:pt>
                <c:pt idx="12">
                  <c:v>5.6547377766745104</c:v>
                </c:pt>
                <c:pt idx="13">
                  <c:v>5.6449028061347217</c:v>
                </c:pt>
                <c:pt idx="14">
                  <c:v>5.6376199344866045</c:v>
                </c:pt>
                <c:pt idx="15">
                  <c:v>5.632821937572297</c:v>
                </c:pt>
                <c:pt idx="16">
                  <c:v>5.6304439308635992</c:v>
                </c:pt>
                <c:pt idx="17">
                  <c:v>5.6304232686915316</c:v>
                </c:pt>
                <c:pt idx="18">
                  <c:v>5.6304232686915316</c:v>
                </c:pt>
                <c:pt idx="19">
                  <c:v>5.6304232686915316</c:v>
                </c:pt>
                <c:pt idx="20">
                  <c:v>5.6304232686915316</c:v>
                </c:pt>
                <c:pt idx="21">
                  <c:v>5.6304232686915316</c:v>
                </c:pt>
                <c:pt idx="22">
                  <c:v>5.6304232686915316</c:v>
                </c:pt>
                <c:pt idx="23">
                  <c:v>5.6304232686915316</c:v>
                </c:pt>
                <c:pt idx="24">
                  <c:v>5.6304232686915316</c:v>
                </c:pt>
                <c:pt idx="25">
                  <c:v>5.6304232686915316</c:v>
                </c:pt>
                <c:pt idx="26">
                  <c:v>5.6304232686915316</c:v>
                </c:pt>
                <c:pt idx="27">
                  <c:v>5.6304232686915316</c:v>
                </c:pt>
                <c:pt idx="28">
                  <c:v>5.6304232686915316</c:v>
                </c:pt>
                <c:pt idx="29">
                  <c:v>5.6304232686915316</c:v>
                </c:pt>
                <c:pt idx="30">
                  <c:v>5.6304232686915316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4A-4954-ADE5-95D833D3DB17}"/>
            </c:ext>
          </c:extLst>
        </c:ser>
        <c:ser>
          <c:idx val="9"/>
          <c:order val="9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'Apparent exit portal'!$Q$46:$Q$77</c:f>
              <c:numCache>
                <c:formatCode>0.00</c:formatCode>
                <c:ptCount val="32"/>
                <c:pt idx="0">
                  <c:v>4</c:v>
                </c:pt>
                <c:pt idx="1">
                  <c:v>3.9698706230354381</c:v>
                </c:pt>
                <c:pt idx="2">
                  <c:v>3.9403399137757198</c:v>
                </c:pt>
                <c:pt idx="3">
                  <c:v>3.911390230651167</c:v>
                </c:pt>
                <c:pt idx="4">
                  <c:v>3.8830046158767804</c:v>
                </c:pt>
                <c:pt idx="5">
                  <c:v>3.8551667641544554</c:v>
                </c:pt>
                <c:pt idx="6">
                  <c:v>3.8278609946795661</c:v>
                </c:pt>
                <c:pt idx="7">
                  <c:v>3.8010722185152077</c:v>
                </c:pt>
                <c:pt idx="8">
                  <c:v>3.7747859108805173</c:v>
                </c:pt>
                <c:pt idx="9">
                  <c:v>3.7489880880335673</c:v>
                </c:pt>
                <c:pt idx="10">
                  <c:v>3.7236652793810388</c:v>
                </c:pt>
                <c:pt idx="11">
                  <c:v>3.698804504108764</c:v>
                </c:pt>
                <c:pt idx="12">
                  <c:v>3.6743932520470675</c:v>
                </c:pt>
                <c:pt idx="13">
                  <c:v>3.6504194596776056</c:v>
                </c:pt>
                <c:pt idx="14">
                  <c:v>3.6268714913054612</c:v>
                </c:pt>
                <c:pt idx="15">
                  <c:v>3.6037381202603234</c:v>
                </c:pt>
                <c:pt idx="16">
                  <c:v>3.5810085101250833</c:v>
                </c:pt>
                <c:pt idx="17">
                  <c:v>3.5586722016718237</c:v>
                </c:pt>
                <c:pt idx="18">
                  <c:v>3.5586722016718237</c:v>
                </c:pt>
                <c:pt idx="19">
                  <c:v>3.5586722016718237</c:v>
                </c:pt>
                <c:pt idx="20">
                  <c:v>3.5586722016718237</c:v>
                </c:pt>
                <c:pt idx="21">
                  <c:v>3.5586722016718237</c:v>
                </c:pt>
                <c:pt idx="22">
                  <c:v>3.5586722016718237</c:v>
                </c:pt>
                <c:pt idx="23">
                  <c:v>3.5586722016718237</c:v>
                </c:pt>
                <c:pt idx="24">
                  <c:v>3.5586722016718237</c:v>
                </c:pt>
                <c:pt idx="25">
                  <c:v>3.5586722016718237</c:v>
                </c:pt>
                <c:pt idx="26">
                  <c:v>3.5586722016718237</c:v>
                </c:pt>
                <c:pt idx="27">
                  <c:v>3.5586722016718237</c:v>
                </c:pt>
                <c:pt idx="28">
                  <c:v>3.5586722016718237</c:v>
                </c:pt>
                <c:pt idx="29">
                  <c:v>3.5586722016718237</c:v>
                </c:pt>
                <c:pt idx="30">
                  <c:v>3.5586722016718237</c:v>
                </c:pt>
              </c:numCache>
            </c:numRef>
          </c:xVal>
          <c:yVal>
            <c:numRef>
              <c:f>'Apparent exit portal'!$P$46:$P$77</c:f>
              <c:numCache>
                <c:formatCode>0.00</c:formatCode>
                <c:ptCount val="32"/>
                <c:pt idx="0">
                  <c:v>6</c:v>
                </c:pt>
                <c:pt idx="1">
                  <c:v>5.9532800444132663</c:v>
                </c:pt>
                <c:pt idx="2">
                  <c:v>5.9101467473212308</c:v>
                </c:pt>
                <c:pt idx="3">
                  <c:v>5.8704945402362227</c:v>
                </c:pt>
                <c:pt idx="4">
                  <c:v>5.8342219518269527</c:v>
                </c:pt>
                <c:pt idx="5">
                  <c:v>5.8012314137297922</c:v>
                </c:pt>
                <c:pt idx="6">
                  <c:v>5.7714290748474566</c:v>
                </c:pt>
                <c:pt idx="7">
                  <c:v>5.744724626151994</c:v>
                </c:pt>
                <c:pt idx="8">
                  <c:v>5.7210311353043695</c:v>
                </c:pt>
                <c:pt idx="9">
                  <c:v>5.7002648904525399</c:v>
                </c:pt>
                <c:pt idx="10">
                  <c:v>5.6823452526230049</c:v>
                </c:pt>
                <c:pt idx="11">
                  <c:v>5.6671945161548951</c:v>
                </c:pt>
                <c:pt idx="12">
                  <c:v>5.6547377766745104</c:v>
                </c:pt>
                <c:pt idx="13">
                  <c:v>5.6449028061347217</c:v>
                </c:pt>
                <c:pt idx="14">
                  <c:v>5.6376199344866045</c:v>
                </c:pt>
                <c:pt idx="15">
                  <c:v>5.632821937572297</c:v>
                </c:pt>
                <c:pt idx="16">
                  <c:v>5.6304439308635992</c:v>
                </c:pt>
                <c:pt idx="17">
                  <c:v>5.6304232686915316</c:v>
                </c:pt>
                <c:pt idx="18">
                  <c:v>5.6304232686915316</c:v>
                </c:pt>
                <c:pt idx="19">
                  <c:v>5.6304232686915316</c:v>
                </c:pt>
                <c:pt idx="20">
                  <c:v>5.6304232686915316</c:v>
                </c:pt>
                <c:pt idx="21">
                  <c:v>5.6304232686915316</c:v>
                </c:pt>
                <c:pt idx="22">
                  <c:v>5.6304232686915316</c:v>
                </c:pt>
                <c:pt idx="23">
                  <c:v>5.6304232686915316</c:v>
                </c:pt>
                <c:pt idx="24">
                  <c:v>5.6304232686915316</c:v>
                </c:pt>
                <c:pt idx="25">
                  <c:v>5.6304232686915316</c:v>
                </c:pt>
                <c:pt idx="26">
                  <c:v>5.6304232686915316</c:v>
                </c:pt>
                <c:pt idx="27">
                  <c:v>5.6304232686915316</c:v>
                </c:pt>
                <c:pt idx="28">
                  <c:v>5.6304232686915316</c:v>
                </c:pt>
                <c:pt idx="29">
                  <c:v>5.6304232686915316</c:v>
                </c:pt>
                <c:pt idx="30">
                  <c:v>5.6304232686915316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74A-4954-ADE5-95D833D3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94074864"/>
        <c:axId val="-1694080848"/>
      </c:scatterChart>
      <c:valAx>
        <c:axId val="-1694074864"/>
        <c:scaling>
          <c:orientation val="minMax"/>
          <c:max val="6"/>
          <c:min val="-6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4080848"/>
        <c:crosses val="autoZero"/>
        <c:crossBetween val="midCat"/>
        <c:majorUnit val="1"/>
      </c:valAx>
      <c:valAx>
        <c:axId val="-169408084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4074864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5.4086664647688271E-2"/>
          <c:y val="4.5053320634750302E-2"/>
          <c:w val="0.34134640621845341"/>
          <c:h val="0.21196617089530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" footer="0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9525</xdr:rowOff>
    </xdr:from>
    <xdr:to>
      <xdr:col>17</xdr:col>
      <xdr:colOff>600075</xdr:colOff>
      <xdr:row>34</xdr:row>
      <xdr:rowOff>123825</xdr:rowOff>
    </xdr:to>
    <xdr:graphicFrame macro="">
      <xdr:nvGraphicFramePr>
        <xdr:cNvPr id="1025" name="Diagram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7</xdr:row>
      <xdr:rowOff>47625</xdr:rowOff>
    </xdr:from>
    <xdr:to>
      <xdr:col>8</xdr:col>
      <xdr:colOff>581025</xdr:colOff>
      <xdr:row>16</xdr:row>
      <xdr:rowOff>76200</xdr:rowOff>
    </xdr:to>
    <xdr:pic>
      <xdr:nvPicPr>
        <xdr:cNvPr id="3073" name="Picture 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181100"/>
          <a:ext cx="22955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49"/>
  <sheetViews>
    <sheetView tabSelected="1" topLeftCell="A9" zoomScaleNormal="75" workbookViewId="0">
      <selection activeCell="C6" sqref="C6"/>
    </sheetView>
  </sheetViews>
  <sheetFormatPr defaultRowHeight="12.75" x14ac:dyDescent="0.2"/>
  <cols>
    <col min="2" max="2" width="47.5703125" customWidth="1"/>
    <col min="3" max="3" width="14.28515625" customWidth="1"/>
    <col min="4" max="4" width="8.7109375" customWidth="1"/>
    <col min="5" max="5" width="9.140625" customWidth="1"/>
  </cols>
  <sheetData>
    <row r="1" spans="2:4" ht="13.5" thickBot="1" x14ac:dyDescent="0.25"/>
    <row r="2" spans="2:4" x14ac:dyDescent="0.2">
      <c r="B2" s="23" t="s">
        <v>4</v>
      </c>
      <c r="C2" s="24"/>
      <c r="D2" s="25"/>
    </row>
    <row r="3" spans="2:4" x14ac:dyDescent="0.2">
      <c r="B3" s="11" t="s">
        <v>59</v>
      </c>
      <c r="C3" s="26">
        <v>1.2</v>
      </c>
      <c r="D3" s="12" t="s">
        <v>6</v>
      </c>
    </row>
    <row r="4" spans="2:4" x14ac:dyDescent="0.2">
      <c r="B4" s="11" t="s">
        <v>60</v>
      </c>
      <c r="C4" s="27">
        <v>1</v>
      </c>
      <c r="D4" s="12" t="s">
        <v>6</v>
      </c>
    </row>
    <row r="5" spans="2:4" ht="13.5" thickBot="1" x14ac:dyDescent="0.25">
      <c r="B5" s="13" t="s">
        <v>61</v>
      </c>
      <c r="C5" s="30">
        <v>230</v>
      </c>
      <c r="D5" s="14" t="s">
        <v>6</v>
      </c>
    </row>
    <row r="6" spans="2:4" ht="13.5" thickBot="1" x14ac:dyDescent="0.25">
      <c r="C6" s="7"/>
      <c r="D6" s="6"/>
    </row>
    <row r="7" spans="2:4" x14ac:dyDescent="0.2">
      <c r="B7" s="33" t="s">
        <v>95</v>
      </c>
      <c r="C7" s="31"/>
      <c r="D7" s="32"/>
    </row>
    <row r="8" spans="2:4" x14ac:dyDescent="0.2">
      <c r="B8" s="59" t="s">
        <v>214</v>
      </c>
      <c r="C8" s="28">
        <v>0</v>
      </c>
      <c r="D8" s="12" t="s">
        <v>6</v>
      </c>
    </row>
    <row r="9" spans="2:4" ht="13.5" thickBot="1" x14ac:dyDescent="0.25">
      <c r="B9" s="60" t="s">
        <v>210</v>
      </c>
      <c r="C9" s="55">
        <v>0</v>
      </c>
      <c r="D9" s="14" t="s">
        <v>6</v>
      </c>
    </row>
    <row r="10" spans="2:4" ht="13.5" thickBot="1" x14ac:dyDescent="0.25">
      <c r="B10" s="9"/>
      <c r="C10" s="7"/>
    </row>
    <row r="11" spans="2:4" x14ac:dyDescent="0.2">
      <c r="B11" s="23" t="s">
        <v>5</v>
      </c>
      <c r="C11" s="31"/>
      <c r="D11" s="32"/>
    </row>
    <row r="12" spans="2:4" x14ac:dyDescent="0.2">
      <c r="B12" s="11" t="s">
        <v>62</v>
      </c>
      <c r="C12" s="27">
        <v>6</v>
      </c>
      <c r="D12" s="12" t="s">
        <v>6</v>
      </c>
    </row>
    <row r="13" spans="2:4" x14ac:dyDescent="0.2">
      <c r="B13" s="11" t="s">
        <v>63</v>
      </c>
      <c r="C13" s="27">
        <v>8</v>
      </c>
      <c r="D13" s="12" t="s">
        <v>6</v>
      </c>
    </row>
    <row r="14" spans="2:4" ht="13.5" thickBot="1" x14ac:dyDescent="0.25">
      <c r="B14" s="13" t="s">
        <v>64</v>
      </c>
      <c r="C14" s="30">
        <v>80</v>
      </c>
      <c r="D14" s="14" t="s">
        <v>6</v>
      </c>
    </row>
    <row r="15" spans="2:4" ht="13.5" thickBot="1" x14ac:dyDescent="0.25">
      <c r="C15" s="7"/>
      <c r="D15" s="6"/>
    </row>
    <row r="16" spans="2:4" x14ac:dyDescent="0.2">
      <c r="B16" s="33" t="s">
        <v>57</v>
      </c>
      <c r="C16" s="31"/>
      <c r="D16" s="32"/>
    </row>
    <row r="17" spans="2:4" x14ac:dyDescent="0.2">
      <c r="B17" s="11" t="s">
        <v>68</v>
      </c>
      <c r="C17" s="26">
        <v>5</v>
      </c>
      <c r="D17" s="12" t="s">
        <v>6</v>
      </c>
    </row>
    <row r="18" spans="2:4" ht="13.5" thickBot="1" x14ac:dyDescent="0.25">
      <c r="B18" s="60" t="s">
        <v>209</v>
      </c>
      <c r="C18" s="34">
        <v>10</v>
      </c>
      <c r="D18" s="14" t="s">
        <v>6</v>
      </c>
    </row>
    <row r="19" spans="2:4" ht="13.5" thickBot="1" x14ac:dyDescent="0.25">
      <c r="C19" s="7"/>
      <c r="D19" s="6"/>
    </row>
    <row r="20" spans="2:4" x14ac:dyDescent="0.2">
      <c r="B20" s="33" t="s">
        <v>58</v>
      </c>
      <c r="C20" s="31"/>
      <c r="D20" s="32"/>
    </row>
    <row r="21" spans="2:4" x14ac:dyDescent="0.2">
      <c r="B21" s="59" t="s">
        <v>214</v>
      </c>
      <c r="C21" s="28">
        <v>2000</v>
      </c>
      <c r="D21" s="12" t="s">
        <v>6</v>
      </c>
    </row>
    <row r="22" spans="2:4" ht="13.5" thickBot="1" x14ac:dyDescent="0.25">
      <c r="B22" s="60" t="s">
        <v>210</v>
      </c>
      <c r="C22" s="55">
        <v>0</v>
      </c>
      <c r="D22" s="14" t="s">
        <v>6</v>
      </c>
    </row>
    <row r="23" spans="2:4" ht="13.5" thickBot="1" x14ac:dyDescent="0.25"/>
    <row r="24" spans="2:4" x14ac:dyDescent="0.2">
      <c r="B24" s="33" t="s">
        <v>18</v>
      </c>
      <c r="C24" s="35"/>
      <c r="D24" s="25"/>
    </row>
    <row r="25" spans="2:4" x14ac:dyDescent="0.2">
      <c r="B25" s="11" t="s">
        <v>69</v>
      </c>
      <c r="C25" s="28">
        <v>1.6</v>
      </c>
      <c r="D25" s="12" t="s">
        <v>6</v>
      </c>
    </row>
    <row r="26" spans="2:4" x14ac:dyDescent="0.2">
      <c r="B26" s="11" t="s">
        <v>70</v>
      </c>
      <c r="C26" s="29">
        <v>1.4</v>
      </c>
      <c r="D26" s="12" t="s">
        <v>6</v>
      </c>
    </row>
    <row r="27" spans="2:4" ht="13.5" thickBot="1" x14ac:dyDescent="0.25">
      <c r="B27" s="13" t="s">
        <v>60</v>
      </c>
      <c r="C27" s="55">
        <v>1.75</v>
      </c>
      <c r="D27" s="14" t="s">
        <v>6</v>
      </c>
    </row>
    <row r="28" spans="2:4" ht="13.5" thickBot="1" x14ac:dyDescent="0.25">
      <c r="C28" s="6"/>
    </row>
    <row r="29" spans="2:4" x14ac:dyDescent="0.2">
      <c r="B29" s="33" t="s">
        <v>39</v>
      </c>
      <c r="C29" s="35"/>
      <c r="D29" s="25"/>
    </row>
    <row r="30" spans="2:4" x14ac:dyDescent="0.2">
      <c r="B30" s="11" t="s">
        <v>66</v>
      </c>
      <c r="C30" s="28">
        <v>1.8</v>
      </c>
      <c r="D30" s="12" t="s">
        <v>6</v>
      </c>
    </row>
    <row r="31" spans="2:4" x14ac:dyDescent="0.2">
      <c r="B31" s="11" t="s">
        <v>67</v>
      </c>
      <c r="C31" s="29">
        <v>0.5</v>
      </c>
      <c r="D31" s="12" t="s">
        <v>6</v>
      </c>
    </row>
    <row r="32" spans="2:4" ht="13.5" thickBot="1" x14ac:dyDescent="0.25">
      <c r="B32" s="13" t="s">
        <v>19</v>
      </c>
      <c r="C32" s="34">
        <v>3</v>
      </c>
      <c r="D32" s="14" t="s">
        <v>6</v>
      </c>
    </row>
    <row r="33" spans="2:13" ht="13.5" thickBot="1" x14ac:dyDescent="0.25">
      <c r="C33" s="6"/>
    </row>
    <row r="34" spans="2:13" x14ac:dyDescent="0.2">
      <c r="B34" s="33" t="s">
        <v>37</v>
      </c>
      <c r="C34" s="22"/>
      <c r="D34" s="25"/>
    </row>
    <row r="35" spans="2:13" x14ac:dyDescent="0.2">
      <c r="B35" s="59" t="s">
        <v>205</v>
      </c>
      <c r="C35" s="56">
        <f>'Apparent exit portal'!C40</f>
        <v>61.707012182113417</v>
      </c>
      <c r="D35" s="12" t="s">
        <v>38</v>
      </c>
    </row>
    <row r="36" spans="2:13" x14ac:dyDescent="0.2">
      <c r="B36" s="59" t="s">
        <v>206</v>
      </c>
      <c r="C36" s="57">
        <f>'Vehicle and cyclist'!B42</f>
        <v>24.097465426250512</v>
      </c>
      <c r="D36" s="12" t="s">
        <v>38</v>
      </c>
    </row>
    <row r="37" spans="2:13" ht="13.5" thickBot="1" x14ac:dyDescent="0.25">
      <c r="B37" s="60" t="s">
        <v>204</v>
      </c>
      <c r="C37" s="58">
        <f>'Vehicle and cyclist'!B56</f>
        <v>32.531080378889349</v>
      </c>
      <c r="D37" s="14" t="s">
        <v>38</v>
      </c>
    </row>
    <row r="38" spans="2:13" ht="13.5" thickBot="1" x14ac:dyDescent="0.25">
      <c r="F38" s="39" t="str">
        <f>IF('Apparent entrance portal'!E40='Apparent entrance portal'!C40,"","Warning: The apparent entrance portal is not fully visible through the entrance portal")</f>
        <v/>
      </c>
      <c r="G38" s="39"/>
      <c r="H38" s="39"/>
      <c r="I38" s="39"/>
      <c r="J38" s="39"/>
      <c r="K38" s="39"/>
      <c r="L38" s="39"/>
      <c r="M38" s="39"/>
    </row>
    <row r="39" spans="2:13" x14ac:dyDescent="0.2">
      <c r="B39" s="23" t="s">
        <v>207</v>
      </c>
      <c r="C39" s="24"/>
      <c r="D39" s="25"/>
    </row>
    <row r="40" spans="2:13" ht="13.5" thickBot="1" x14ac:dyDescent="0.25">
      <c r="B40" s="60" t="s">
        <v>211</v>
      </c>
      <c r="C40" s="62">
        <f>'Apparent exit portal'!C86</f>
        <v>1.4149866046390309</v>
      </c>
      <c r="D40" s="63" t="s">
        <v>203</v>
      </c>
    </row>
    <row r="41" spans="2:13" ht="13.5" thickBot="1" x14ac:dyDescent="0.25">
      <c r="B41" s="61"/>
    </row>
    <row r="42" spans="2:13" x14ac:dyDescent="0.2">
      <c r="B42" s="33" t="s">
        <v>208</v>
      </c>
      <c r="C42" s="22"/>
      <c r="D42" s="25"/>
    </row>
    <row r="43" spans="2:13" x14ac:dyDescent="0.2">
      <c r="B43" s="59" t="s">
        <v>205</v>
      </c>
      <c r="C43" s="56">
        <f>C35*C$40/2</f>
        <v>43.657297824993989</v>
      </c>
      <c r="D43" s="12" t="s">
        <v>38</v>
      </c>
    </row>
    <row r="44" spans="2:13" x14ac:dyDescent="0.2">
      <c r="B44" s="59" t="s">
        <v>206</v>
      </c>
      <c r="C44" s="57">
        <f>C36*C$40/2</f>
        <v>17.048795391948325</v>
      </c>
      <c r="D44" s="12" t="s">
        <v>38</v>
      </c>
    </row>
    <row r="45" spans="2:13" ht="13.5" thickBot="1" x14ac:dyDescent="0.25">
      <c r="B45" s="60" t="s">
        <v>204</v>
      </c>
      <c r="C45" s="58">
        <f>C37*C$40/2</f>
        <v>23.015521485282019</v>
      </c>
      <c r="D45" s="14" t="s">
        <v>38</v>
      </c>
    </row>
    <row r="47" spans="2:13" x14ac:dyDescent="0.2">
      <c r="B47" s="64" t="s">
        <v>213</v>
      </c>
    </row>
    <row r="48" spans="2:13" x14ac:dyDescent="0.2">
      <c r="B48" s="54" t="s">
        <v>212</v>
      </c>
    </row>
    <row r="49" spans="2:3" x14ac:dyDescent="0.2">
      <c r="B49" s="19"/>
      <c r="C49" t="s">
        <v>217</v>
      </c>
    </row>
  </sheetData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2:I53"/>
  <sheetViews>
    <sheetView workbookViewId="0">
      <selection activeCell="K13" sqref="K13"/>
    </sheetView>
  </sheetViews>
  <sheetFormatPr defaultRowHeight="12.75" x14ac:dyDescent="0.2"/>
  <cols>
    <col min="2" max="2" width="41.140625" customWidth="1"/>
  </cols>
  <sheetData>
    <row r="2" spans="2:8" x14ac:dyDescent="0.2">
      <c r="B2" s="50" t="s">
        <v>115</v>
      </c>
    </row>
    <row r="4" spans="2:8" x14ac:dyDescent="0.2">
      <c r="B4" t="s">
        <v>2</v>
      </c>
      <c r="C4" s="8">
        <f>'Short tunnels'!C13</f>
        <v>8</v>
      </c>
      <c r="D4" s="6" t="s">
        <v>108</v>
      </c>
      <c r="H4" s="5"/>
    </row>
    <row r="5" spans="2:8" x14ac:dyDescent="0.2">
      <c r="B5" t="s">
        <v>3</v>
      </c>
      <c r="C5" s="8">
        <f>'Short tunnels'!C12</f>
        <v>6</v>
      </c>
      <c r="D5" s="6" t="s">
        <v>108</v>
      </c>
      <c r="H5" s="5"/>
    </row>
    <row r="6" spans="2:8" x14ac:dyDescent="0.2">
      <c r="C6" s="7"/>
      <c r="F6" t="s">
        <v>116</v>
      </c>
      <c r="H6" s="5"/>
    </row>
    <row r="7" spans="2:8" x14ac:dyDescent="0.2">
      <c r="B7" t="s">
        <v>40</v>
      </c>
      <c r="C7" s="7"/>
      <c r="H7" s="5"/>
    </row>
    <row r="8" spans="2:8" x14ac:dyDescent="0.2">
      <c r="B8" s="9" t="s">
        <v>41</v>
      </c>
      <c r="C8" s="36">
        <f>-C4/2</f>
        <v>-4</v>
      </c>
      <c r="D8" s="6" t="s">
        <v>108</v>
      </c>
    </row>
    <row r="9" spans="2:8" x14ac:dyDescent="0.2">
      <c r="B9" s="9" t="s">
        <v>42</v>
      </c>
      <c r="C9" s="36">
        <f>C4/2</f>
        <v>4</v>
      </c>
      <c r="D9" s="6" t="s">
        <v>108</v>
      </c>
      <c r="E9" s="1"/>
    </row>
    <row r="10" spans="2:8" x14ac:dyDescent="0.2">
      <c r="D10" s="6"/>
      <c r="E10" s="1"/>
    </row>
    <row r="11" spans="2:8" x14ac:dyDescent="0.2">
      <c r="B11" t="s">
        <v>114</v>
      </c>
      <c r="D11" s="6"/>
      <c r="E11" s="1"/>
    </row>
    <row r="12" spans="2:8" x14ac:dyDescent="0.2">
      <c r="B12" s="9" t="s">
        <v>48</v>
      </c>
      <c r="C12" s="20">
        <v>0</v>
      </c>
      <c r="D12" s="6" t="s">
        <v>108</v>
      </c>
    </row>
    <row r="13" spans="2:8" x14ac:dyDescent="0.2">
      <c r="B13" s="9" t="s">
        <v>49</v>
      </c>
      <c r="C13" s="20">
        <f>C5</f>
        <v>6</v>
      </c>
      <c r="D13" s="6" t="s">
        <v>108</v>
      </c>
    </row>
    <row r="17" spans="2:9" x14ac:dyDescent="0.2">
      <c r="B17" t="s">
        <v>146</v>
      </c>
    </row>
    <row r="18" spans="2:9" x14ac:dyDescent="0.2">
      <c r="B18" s="9" t="s">
        <v>20</v>
      </c>
      <c r="C18" s="6"/>
      <c r="D18" s="1"/>
      <c r="F18" s="1"/>
      <c r="H18" s="1"/>
      <c r="I18" s="1"/>
    </row>
    <row r="19" spans="2:9" x14ac:dyDescent="0.2">
      <c r="C19" s="6" t="s">
        <v>0</v>
      </c>
      <c r="D19" s="6" t="s">
        <v>45</v>
      </c>
      <c r="F19" s="2"/>
      <c r="H19" s="2"/>
      <c r="I19" s="2"/>
    </row>
    <row r="20" spans="2:9" x14ac:dyDescent="0.2">
      <c r="B20" s="9" t="s">
        <v>26</v>
      </c>
      <c r="C20" s="10">
        <f>C9</f>
        <v>4</v>
      </c>
      <c r="D20" s="10">
        <f>C12</f>
        <v>0</v>
      </c>
      <c r="F20" s="1"/>
      <c r="H20" s="1"/>
      <c r="I20" s="1"/>
    </row>
    <row r="21" spans="2:9" x14ac:dyDescent="0.2">
      <c r="B21" s="9" t="s">
        <v>27</v>
      </c>
      <c r="C21" s="10">
        <f>C8</f>
        <v>-4</v>
      </c>
      <c r="D21" s="10">
        <f>D20</f>
        <v>0</v>
      </c>
      <c r="F21" s="1"/>
      <c r="H21" s="1"/>
      <c r="I21" s="1"/>
    </row>
    <row r="22" spans="2:9" x14ac:dyDescent="0.2">
      <c r="B22" s="9" t="s">
        <v>28</v>
      </c>
      <c r="C22" s="10">
        <f>C21</f>
        <v>-4</v>
      </c>
      <c r="D22" s="10">
        <f>C13</f>
        <v>6</v>
      </c>
    </row>
    <row r="23" spans="2:9" x14ac:dyDescent="0.2">
      <c r="B23" s="9" t="s">
        <v>29</v>
      </c>
      <c r="C23" s="10">
        <f>C20</f>
        <v>4</v>
      </c>
      <c r="D23" s="10">
        <f>D22</f>
        <v>6</v>
      </c>
    </row>
    <row r="24" spans="2:9" x14ac:dyDescent="0.2">
      <c r="B24" s="9" t="s">
        <v>26</v>
      </c>
      <c r="C24" s="10">
        <f>C20</f>
        <v>4</v>
      </c>
      <c r="D24" s="10">
        <f>D20</f>
        <v>0</v>
      </c>
      <c r="F24" s="1"/>
      <c r="H24" s="1"/>
      <c r="I24" s="1"/>
    </row>
    <row r="25" spans="2:9" x14ac:dyDescent="0.2">
      <c r="B25" s="9" t="s">
        <v>175</v>
      </c>
      <c r="C25" t="s">
        <v>103</v>
      </c>
      <c r="D25" s="17"/>
      <c r="F25" s="17"/>
      <c r="H25" s="17"/>
      <c r="I25" s="17"/>
    </row>
    <row r="28" spans="2:9" x14ac:dyDescent="0.2">
      <c r="B28" s="9"/>
      <c r="C28" s="6"/>
      <c r="D28" s="1"/>
      <c r="F28" s="9"/>
      <c r="G28" s="6"/>
      <c r="H28" s="1"/>
      <c r="I28" s="1"/>
    </row>
    <row r="29" spans="2:9" x14ac:dyDescent="0.2">
      <c r="B29" s="9"/>
      <c r="C29" s="6"/>
      <c r="D29" s="17"/>
      <c r="F29" s="9"/>
      <c r="G29" s="6"/>
      <c r="H29" s="17"/>
      <c r="I29" s="17"/>
    </row>
    <row r="30" spans="2:9" x14ac:dyDescent="0.2">
      <c r="C30" s="6"/>
      <c r="D30" s="1"/>
      <c r="G30" s="6"/>
      <c r="H30" s="1"/>
      <c r="I30" s="1"/>
    </row>
    <row r="31" spans="2:9" x14ac:dyDescent="0.2">
      <c r="B31" s="9"/>
      <c r="C31" s="6"/>
      <c r="D31" s="1"/>
      <c r="F31" s="9"/>
      <c r="G31" s="6"/>
      <c r="H31" s="1"/>
      <c r="I31" s="1"/>
    </row>
    <row r="32" spans="2:9" x14ac:dyDescent="0.2">
      <c r="D32" s="1"/>
      <c r="H32" s="1"/>
      <c r="I32" s="1"/>
    </row>
    <row r="34" spans="2:8" x14ac:dyDescent="0.2">
      <c r="B34" s="9"/>
      <c r="C34" s="6"/>
      <c r="D34" s="18"/>
      <c r="F34" s="9"/>
      <c r="G34" s="6"/>
      <c r="H34" s="18"/>
    </row>
    <row r="35" spans="2:8" x14ac:dyDescent="0.2">
      <c r="B35" s="9"/>
      <c r="C35" s="6"/>
      <c r="D35" s="17"/>
      <c r="F35" s="9"/>
      <c r="G35" s="6"/>
      <c r="H35" s="17"/>
    </row>
    <row r="36" spans="2:8" x14ac:dyDescent="0.2">
      <c r="C36" s="6"/>
      <c r="D36" s="1"/>
      <c r="G36" s="6"/>
      <c r="H36" s="1"/>
    </row>
    <row r="37" spans="2:8" x14ac:dyDescent="0.2">
      <c r="B37" s="9"/>
      <c r="C37" s="6"/>
      <c r="D37" s="1"/>
      <c r="F37" s="9"/>
      <c r="G37" s="6"/>
      <c r="H37" s="1"/>
    </row>
    <row r="39" spans="2:8" x14ac:dyDescent="0.2">
      <c r="B39" s="19"/>
      <c r="F39" s="19"/>
    </row>
    <row r="40" spans="2:8" x14ac:dyDescent="0.2">
      <c r="B40" s="9"/>
      <c r="C40" s="6"/>
      <c r="F40" s="9"/>
      <c r="G40" s="6"/>
    </row>
    <row r="41" spans="2:8" x14ac:dyDescent="0.2">
      <c r="C41" s="6"/>
      <c r="G41" s="6"/>
    </row>
    <row r="42" spans="2:8" x14ac:dyDescent="0.2">
      <c r="C42" s="6"/>
      <c r="G42" s="6"/>
    </row>
    <row r="43" spans="2:8" x14ac:dyDescent="0.2">
      <c r="B43" s="9"/>
      <c r="D43" s="4"/>
      <c r="F43" s="9"/>
      <c r="H43" s="4"/>
    </row>
    <row r="44" spans="2:8" x14ac:dyDescent="0.2">
      <c r="B44" s="9"/>
      <c r="C44" s="6"/>
      <c r="D44" s="1"/>
      <c r="F44" s="9"/>
      <c r="G44" s="6"/>
      <c r="H44" s="1"/>
    </row>
    <row r="45" spans="2:8" x14ac:dyDescent="0.2">
      <c r="C45" s="6"/>
      <c r="D45" s="18"/>
      <c r="G45" s="6"/>
      <c r="H45" s="18"/>
    </row>
    <row r="46" spans="2:8" x14ac:dyDescent="0.2">
      <c r="B46" s="9"/>
      <c r="C46" s="6"/>
      <c r="D46" s="18"/>
      <c r="F46" s="9"/>
      <c r="G46" s="6"/>
      <c r="H46" s="18"/>
    </row>
    <row r="47" spans="2:8" x14ac:dyDescent="0.2">
      <c r="B47" s="9"/>
      <c r="C47" s="6"/>
      <c r="D47" s="18"/>
      <c r="F47" s="9"/>
      <c r="G47" s="6"/>
      <c r="H47" s="18"/>
    </row>
    <row r="48" spans="2:8" x14ac:dyDescent="0.2">
      <c r="B48" s="9"/>
      <c r="C48" s="6"/>
      <c r="D48" s="3"/>
      <c r="F48" s="9"/>
      <c r="G48" s="6"/>
      <c r="H48" s="3"/>
    </row>
    <row r="49" spans="2:8" x14ac:dyDescent="0.2">
      <c r="C49" s="6"/>
      <c r="D49" s="1"/>
      <c r="G49" s="6"/>
      <c r="H49" s="1"/>
    </row>
    <row r="50" spans="2:8" x14ac:dyDescent="0.2">
      <c r="B50" s="9"/>
      <c r="C50" s="6"/>
      <c r="D50" s="1"/>
      <c r="F50" s="9"/>
      <c r="G50" s="6"/>
      <c r="H50" s="1"/>
    </row>
    <row r="51" spans="2:8" x14ac:dyDescent="0.2">
      <c r="B51" s="19"/>
      <c r="F51" s="19"/>
    </row>
    <row r="52" spans="2:8" x14ac:dyDescent="0.2">
      <c r="B52" s="9"/>
      <c r="C52" s="6"/>
      <c r="D52" s="1"/>
      <c r="F52" s="9"/>
      <c r="G52" s="6"/>
      <c r="H52" s="1"/>
    </row>
    <row r="53" spans="2:8" x14ac:dyDescent="0.2">
      <c r="B53" s="9"/>
      <c r="C53" s="6"/>
    </row>
  </sheetData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6"/>
  <sheetViews>
    <sheetView workbookViewId="0">
      <selection activeCell="G3" sqref="G3"/>
    </sheetView>
  </sheetViews>
  <sheetFormatPr defaultRowHeight="12.75" x14ac:dyDescent="0.2"/>
  <cols>
    <col min="2" max="2" width="45.7109375" customWidth="1"/>
    <col min="3" max="3" width="11.5703125" bestFit="1" customWidth="1"/>
  </cols>
  <sheetData>
    <row r="2" spans="2:8" x14ac:dyDescent="0.2">
      <c r="B2" s="50" t="s">
        <v>115</v>
      </c>
      <c r="C2" s="5"/>
    </row>
    <row r="3" spans="2:8" x14ac:dyDescent="0.2">
      <c r="C3" s="5"/>
      <c r="G3" t="s">
        <v>120</v>
      </c>
    </row>
    <row r="4" spans="2:8" x14ac:dyDescent="0.2">
      <c r="C4" s="5"/>
    </row>
    <row r="5" spans="2:8" x14ac:dyDescent="0.2">
      <c r="B5" t="s">
        <v>106</v>
      </c>
      <c r="C5" s="8">
        <f>'Short tunnels'!C3</f>
        <v>1.2</v>
      </c>
      <c r="D5" s="6" t="s">
        <v>108</v>
      </c>
    </row>
    <row r="6" spans="2:8" x14ac:dyDescent="0.2">
      <c r="B6" t="s">
        <v>107</v>
      </c>
      <c r="C6" s="8">
        <f>'Short tunnels'!C4</f>
        <v>1</v>
      </c>
      <c r="D6" s="6" t="s">
        <v>108</v>
      </c>
    </row>
    <row r="7" spans="2:8" x14ac:dyDescent="0.2">
      <c r="B7" t="s">
        <v>61</v>
      </c>
      <c r="C7" s="38">
        <f>'Short tunnels'!C5</f>
        <v>230</v>
      </c>
      <c r="D7" s="6" t="s">
        <v>108</v>
      </c>
    </row>
    <row r="8" spans="2:8" x14ac:dyDescent="0.2">
      <c r="B8" t="s">
        <v>117</v>
      </c>
      <c r="C8" s="7">
        <f>'Short tunnels'!C8</f>
        <v>0</v>
      </c>
      <c r="D8" s="6" t="s">
        <v>108</v>
      </c>
      <c r="H8" s="5"/>
    </row>
    <row r="9" spans="2:8" x14ac:dyDescent="0.2">
      <c r="B9" s="19" t="s">
        <v>65</v>
      </c>
      <c r="C9" s="7">
        <f>'Short tunnels'!C9</f>
        <v>0</v>
      </c>
      <c r="D9" s="6" t="s">
        <v>108</v>
      </c>
    </row>
    <row r="10" spans="2:8" x14ac:dyDescent="0.2">
      <c r="B10" s="19" t="s">
        <v>118</v>
      </c>
      <c r="C10" s="36">
        <f>IF(C8=0,9999999999,C8)</f>
        <v>9999999999</v>
      </c>
      <c r="D10" s="6" t="s">
        <v>108</v>
      </c>
      <c r="E10" s="1"/>
    </row>
    <row r="11" spans="2:8" x14ac:dyDescent="0.2">
      <c r="B11" s="19" t="s">
        <v>119</v>
      </c>
      <c r="C11" s="36">
        <f>IF(C9=0,9999999999,C9)</f>
        <v>9999999999</v>
      </c>
      <c r="D11" s="6" t="s">
        <v>108</v>
      </c>
      <c r="E11" s="1"/>
    </row>
    <row r="12" spans="2:8" x14ac:dyDescent="0.2">
      <c r="D12" s="6"/>
      <c r="E12" s="1"/>
    </row>
    <row r="14" spans="2:8" x14ac:dyDescent="0.2">
      <c r="B14" s="19" t="s">
        <v>122</v>
      </c>
      <c r="C14" s="6">
        <v>1</v>
      </c>
      <c r="D14" s="6">
        <v>2</v>
      </c>
      <c r="E14" s="6">
        <v>3</v>
      </c>
      <c r="G14" t="s">
        <v>123</v>
      </c>
    </row>
    <row r="15" spans="2:8" x14ac:dyDescent="0.2">
      <c r="B15" t="s">
        <v>111</v>
      </c>
      <c r="C15" s="10">
        <f>-C7</f>
        <v>-230</v>
      </c>
      <c r="D15" s="10">
        <f>C15*$C7/C19</f>
        <v>-229.99999999999994</v>
      </c>
      <c r="E15" s="10">
        <f>D15*$C7/D19</f>
        <v>-229.99999999999994</v>
      </c>
    </row>
    <row r="16" spans="2:8" x14ac:dyDescent="0.2">
      <c r="B16" s="19" t="s">
        <v>109</v>
      </c>
      <c r="C16" s="21">
        <f>ASIN(C15/$C11)</f>
        <v>-2.3000000002300003E-8</v>
      </c>
      <c r="D16" s="21">
        <f>ASIN(D15/$C11)</f>
        <v>-2.3000000002299996E-8</v>
      </c>
      <c r="E16" s="21">
        <f>ASIN(E15/$C11)</f>
        <v>-2.3000000002299996E-8</v>
      </c>
      <c r="G16" t="s">
        <v>127</v>
      </c>
    </row>
    <row r="17" spans="2:15" x14ac:dyDescent="0.2">
      <c r="B17" t="s">
        <v>113</v>
      </c>
      <c r="C17" s="10">
        <f>-$C11*C16</f>
        <v>230.00000000000003</v>
      </c>
      <c r="D17" s="10">
        <f>-$C11*D16</f>
        <v>229.99999999999997</v>
      </c>
      <c r="E17" s="10">
        <f>-$C11*E16</f>
        <v>229.99999999999997</v>
      </c>
      <c r="G17" t="s">
        <v>128</v>
      </c>
    </row>
    <row r="18" spans="2:15" x14ac:dyDescent="0.2">
      <c r="B18" t="s">
        <v>96</v>
      </c>
      <c r="C18" s="21">
        <f>ASIN(C17/$C10)</f>
        <v>2.3000000002300006E-8</v>
      </c>
      <c r="D18" s="21">
        <f>ASIN(D17/$C10)</f>
        <v>2.30000000023E-8</v>
      </c>
      <c r="E18" s="40">
        <f>ASIN(E17/$C10)</f>
        <v>2.30000000023E-8</v>
      </c>
    </row>
    <row r="19" spans="2:15" x14ac:dyDescent="0.2">
      <c r="B19" t="s">
        <v>121</v>
      </c>
      <c r="C19" s="10">
        <f>C17*C18/SIN(C18)</f>
        <v>230.00000000000006</v>
      </c>
      <c r="D19" s="10">
        <f>D17*D18/SIN(D18)</f>
        <v>230</v>
      </c>
      <c r="E19" s="10">
        <f>E17*E18/SIN(E18)</f>
        <v>230</v>
      </c>
      <c r="F19" s="1"/>
      <c r="H19" s="1"/>
      <c r="I19" s="1"/>
    </row>
    <row r="20" spans="2:15" x14ac:dyDescent="0.2">
      <c r="B20" t="s">
        <v>112</v>
      </c>
      <c r="C20" s="40"/>
      <c r="D20" s="21"/>
      <c r="E20" s="21">
        <f>$C11*(1-COS(E16))</f>
        <v>2.2204460490282685E-6</v>
      </c>
      <c r="F20" s="2"/>
      <c r="H20" s="2"/>
      <c r="I20" s="2"/>
    </row>
    <row r="21" spans="2:15" x14ac:dyDescent="0.2">
      <c r="B21" t="s">
        <v>110</v>
      </c>
      <c r="C21" s="40"/>
      <c r="D21" s="21"/>
      <c r="E21" s="21">
        <f>$C10*(1-COS(E18))</f>
        <v>2.2204460490282685E-6</v>
      </c>
      <c r="F21" s="1"/>
      <c r="H21" s="1"/>
      <c r="I21" s="1"/>
    </row>
    <row r="22" spans="2:15" x14ac:dyDescent="0.2">
      <c r="D22" s="41"/>
      <c r="F22" s="1"/>
      <c r="H22" s="1"/>
      <c r="I22" s="1"/>
    </row>
    <row r="23" spans="2:15" x14ac:dyDescent="0.2">
      <c r="B23" s="19" t="s">
        <v>124</v>
      </c>
      <c r="C23" s="10"/>
      <c r="D23" s="10"/>
      <c r="E23" s="10">
        <f>E20+$C6*COS(E16)-$C5*SIN(E16)*SIN(E18)</f>
        <v>1.0000022204460495</v>
      </c>
      <c r="G23" t="s">
        <v>129</v>
      </c>
    </row>
    <row r="24" spans="2:15" x14ac:dyDescent="0.2">
      <c r="B24" t="s">
        <v>125</v>
      </c>
      <c r="C24" s="10"/>
      <c r="D24" s="10"/>
      <c r="E24" s="10">
        <f>E15-$C6*SIN(E16)+$C5*COS(E16)*SIN(E18)</f>
        <v>-229.99999994939992</v>
      </c>
    </row>
    <row r="25" spans="2:15" x14ac:dyDescent="0.2">
      <c r="B25" t="s">
        <v>126</v>
      </c>
      <c r="C25" s="21"/>
      <c r="D25" s="21"/>
      <c r="E25" s="21">
        <f>E21+$C5*COS(E18)</f>
        <v>1.2000022204460488</v>
      </c>
      <c r="I25" s="1"/>
      <c r="J25" s="6"/>
      <c r="K25" s="6"/>
      <c r="L25" s="6"/>
      <c r="M25" s="6"/>
      <c r="N25" s="6"/>
      <c r="O25" s="6"/>
    </row>
    <row r="26" spans="2:15" x14ac:dyDescent="0.2">
      <c r="J26" s="10"/>
      <c r="K26" s="10"/>
      <c r="L26" s="10"/>
      <c r="M26" s="10"/>
      <c r="N26" s="10"/>
      <c r="O26" s="10"/>
    </row>
    <row r="27" spans="2:15" x14ac:dyDescent="0.2">
      <c r="B27" t="s">
        <v>176</v>
      </c>
      <c r="C27" s="21" t="s">
        <v>25</v>
      </c>
      <c r="D27" s="21"/>
      <c r="E27" s="21"/>
      <c r="H27" s="19"/>
      <c r="J27" s="10"/>
      <c r="K27" s="10"/>
      <c r="L27" s="10"/>
      <c r="M27" s="10"/>
      <c r="N27" s="10"/>
      <c r="O27" s="10"/>
    </row>
    <row r="28" spans="2:15" x14ac:dyDescent="0.2">
      <c r="F28" s="21"/>
      <c r="G28" s="21"/>
      <c r="H28" s="10"/>
      <c r="I28" s="10"/>
      <c r="J28" s="10"/>
      <c r="K28" s="10"/>
      <c r="L28" s="10"/>
      <c r="M28" s="10"/>
      <c r="N28" s="10"/>
      <c r="O28" s="10"/>
    </row>
    <row r="29" spans="2:15" x14ac:dyDescent="0.2">
      <c r="B29" s="9"/>
      <c r="C29" s="6"/>
      <c r="D29" s="6"/>
      <c r="E29" s="10"/>
      <c r="F29" s="21"/>
      <c r="G29" s="21"/>
      <c r="H29" s="10"/>
      <c r="I29" s="10"/>
      <c r="J29" s="10"/>
      <c r="K29" s="10"/>
      <c r="L29" s="10"/>
      <c r="M29" s="10"/>
      <c r="N29" s="10"/>
      <c r="O29" s="10"/>
    </row>
    <row r="30" spans="2:15" x14ac:dyDescent="0.2">
      <c r="C30" s="6"/>
      <c r="D30" s="6"/>
      <c r="E30" s="10"/>
      <c r="F30" s="21"/>
      <c r="G30" s="21"/>
      <c r="H30" s="10"/>
      <c r="I30" s="10"/>
      <c r="J30" s="10"/>
      <c r="K30" s="10"/>
      <c r="L30" s="10"/>
      <c r="M30" s="10"/>
      <c r="N30" s="10"/>
      <c r="O30" s="10"/>
    </row>
    <row r="31" spans="2:15" x14ac:dyDescent="0.2">
      <c r="B31" s="9"/>
      <c r="C31" s="6"/>
      <c r="D31" s="6"/>
      <c r="E31" s="10"/>
      <c r="F31" s="21"/>
      <c r="G31" s="21"/>
      <c r="H31" s="10"/>
      <c r="I31" s="10"/>
      <c r="J31" s="10"/>
      <c r="K31" s="10"/>
      <c r="L31" s="10"/>
      <c r="M31" s="10"/>
      <c r="N31" s="10"/>
      <c r="O31" s="10"/>
    </row>
    <row r="32" spans="2:15" x14ac:dyDescent="0.2">
      <c r="D32" s="6"/>
      <c r="E32" s="10"/>
      <c r="F32" s="21"/>
      <c r="G32" s="21"/>
      <c r="H32" s="10"/>
      <c r="I32" s="10"/>
      <c r="J32" s="10"/>
      <c r="K32" s="10"/>
      <c r="L32" s="10"/>
      <c r="M32" s="10"/>
      <c r="N32" s="10"/>
      <c r="O32" s="10"/>
    </row>
    <row r="33" spans="2:15" x14ac:dyDescent="0.2">
      <c r="D33" s="6"/>
      <c r="E33" s="10"/>
      <c r="F33" s="21"/>
      <c r="G33" s="21"/>
      <c r="H33" s="10"/>
      <c r="I33" s="10"/>
      <c r="J33" s="10"/>
      <c r="K33" s="10"/>
      <c r="L33" s="10"/>
      <c r="M33" s="10"/>
      <c r="N33" s="10"/>
      <c r="O33" s="10"/>
    </row>
    <row r="34" spans="2:15" x14ac:dyDescent="0.2">
      <c r="B34" s="9"/>
      <c r="C34" s="6"/>
      <c r="D34" s="6"/>
      <c r="E34" s="10"/>
      <c r="F34" s="21"/>
      <c r="G34" s="21"/>
      <c r="H34" s="10"/>
      <c r="I34" s="10"/>
      <c r="J34" s="10"/>
      <c r="K34" s="10"/>
      <c r="L34" s="10"/>
      <c r="M34" s="10"/>
      <c r="N34" s="10"/>
      <c r="O34" s="10"/>
    </row>
    <row r="35" spans="2:15" x14ac:dyDescent="0.2">
      <c r="B35" s="9"/>
      <c r="C35" s="6"/>
      <c r="D35" s="6"/>
      <c r="E35" s="10"/>
      <c r="F35" s="21"/>
      <c r="G35" s="21"/>
      <c r="H35" s="10"/>
      <c r="I35" s="10"/>
      <c r="J35" s="10"/>
      <c r="K35" s="10"/>
      <c r="L35" s="10"/>
      <c r="M35" s="10"/>
      <c r="N35" s="10"/>
      <c r="O35" s="10"/>
    </row>
    <row r="36" spans="2:15" x14ac:dyDescent="0.2">
      <c r="C36" s="6"/>
      <c r="D36" s="6"/>
      <c r="E36" s="10"/>
      <c r="F36" s="21"/>
      <c r="G36" s="21"/>
      <c r="H36" s="10"/>
      <c r="I36" s="10"/>
      <c r="J36" s="10"/>
      <c r="K36" s="10"/>
      <c r="L36" s="10"/>
      <c r="M36" s="10"/>
      <c r="N36" s="10"/>
      <c r="O36" s="10"/>
    </row>
    <row r="37" spans="2:15" x14ac:dyDescent="0.2">
      <c r="B37" s="9"/>
      <c r="C37" s="6"/>
      <c r="D37" s="6"/>
      <c r="E37" s="10"/>
      <c r="F37" s="21"/>
      <c r="G37" s="21"/>
      <c r="H37" s="10"/>
      <c r="I37" s="10"/>
      <c r="J37" s="10"/>
      <c r="K37" s="10"/>
      <c r="L37" s="10"/>
      <c r="M37" s="10"/>
      <c r="N37" s="10"/>
      <c r="O37" s="10"/>
    </row>
    <row r="38" spans="2:15" x14ac:dyDescent="0.2">
      <c r="D38" s="6"/>
      <c r="E38" s="10"/>
      <c r="F38" s="21"/>
      <c r="G38" s="21"/>
      <c r="H38" s="10"/>
      <c r="I38" s="10"/>
      <c r="J38" s="10"/>
      <c r="K38" s="10"/>
      <c r="L38" s="10"/>
      <c r="M38" s="10"/>
      <c r="N38" s="10"/>
      <c r="O38" s="10"/>
    </row>
    <row r="39" spans="2:15" x14ac:dyDescent="0.2">
      <c r="B39" s="19"/>
      <c r="D39" s="6"/>
      <c r="E39" s="10"/>
      <c r="F39" s="21"/>
      <c r="G39" s="21"/>
      <c r="H39" s="10"/>
      <c r="I39" s="10"/>
      <c r="J39" s="10"/>
      <c r="K39" s="10"/>
      <c r="L39" s="10"/>
      <c r="M39" s="10"/>
      <c r="N39" s="10"/>
      <c r="O39" s="10"/>
    </row>
    <row r="40" spans="2:15" x14ac:dyDescent="0.2">
      <c r="B40" s="9"/>
      <c r="C40" s="6"/>
      <c r="D40" s="6"/>
      <c r="E40" s="10"/>
      <c r="F40" s="21"/>
      <c r="G40" s="21"/>
      <c r="H40" s="10"/>
      <c r="I40" s="10"/>
      <c r="J40" s="10"/>
      <c r="K40" s="10"/>
      <c r="L40" s="10"/>
      <c r="M40" s="10"/>
      <c r="N40" s="10"/>
      <c r="O40" s="10"/>
    </row>
    <row r="41" spans="2:15" x14ac:dyDescent="0.2">
      <c r="C41" s="6"/>
      <c r="D41" s="6"/>
      <c r="E41" s="10"/>
      <c r="F41" s="21"/>
      <c r="G41" s="21"/>
      <c r="H41" s="10"/>
      <c r="I41" s="10"/>
      <c r="J41" s="10"/>
      <c r="K41" s="10"/>
      <c r="L41" s="10"/>
      <c r="M41" s="10"/>
      <c r="N41" s="10"/>
      <c r="O41" s="10"/>
    </row>
    <row r="42" spans="2:15" x14ac:dyDescent="0.2">
      <c r="C42" s="6"/>
      <c r="D42" s="6"/>
      <c r="E42" s="10"/>
      <c r="F42" s="21"/>
      <c r="G42" s="21"/>
      <c r="H42" s="10"/>
      <c r="I42" s="10"/>
      <c r="J42" s="10"/>
      <c r="K42" s="10"/>
      <c r="L42" s="10"/>
      <c r="M42" s="10"/>
      <c r="N42" s="10"/>
      <c r="O42" s="10"/>
    </row>
    <row r="43" spans="2:15" x14ac:dyDescent="0.2">
      <c r="B43" s="9"/>
      <c r="D43" s="6"/>
      <c r="E43" s="10"/>
      <c r="F43" s="21"/>
      <c r="G43" s="21"/>
      <c r="H43" s="10"/>
      <c r="I43" s="10"/>
      <c r="J43" s="10"/>
      <c r="K43" s="10"/>
      <c r="L43" s="10"/>
      <c r="M43" s="10"/>
      <c r="N43" s="10"/>
      <c r="O43" s="10"/>
    </row>
    <row r="44" spans="2:15" x14ac:dyDescent="0.2">
      <c r="B44" s="9"/>
      <c r="C44" s="6"/>
      <c r="D44" s="6"/>
      <c r="E44" s="10"/>
      <c r="F44" s="21"/>
      <c r="G44" s="21"/>
      <c r="H44" s="10"/>
      <c r="I44" s="10"/>
      <c r="J44" s="10"/>
      <c r="K44" s="10"/>
      <c r="L44" s="10"/>
      <c r="M44" s="10"/>
      <c r="N44" s="10"/>
      <c r="O44" s="10"/>
    </row>
    <row r="45" spans="2:15" x14ac:dyDescent="0.2">
      <c r="C45" s="6"/>
      <c r="D45" s="6"/>
      <c r="E45" s="10"/>
      <c r="F45" s="21"/>
      <c r="G45" s="21"/>
      <c r="H45" s="10"/>
      <c r="I45" s="10"/>
      <c r="J45" s="10"/>
      <c r="K45" s="10"/>
      <c r="L45" s="10"/>
      <c r="M45" s="10"/>
      <c r="N45" s="10"/>
      <c r="O45" s="10"/>
    </row>
    <row r="46" spans="2:15" x14ac:dyDescent="0.2">
      <c r="B46" s="9"/>
      <c r="C46" s="6"/>
      <c r="D46" s="6"/>
      <c r="E46" s="10"/>
      <c r="F46" s="21"/>
      <c r="G46" s="21"/>
      <c r="H46" s="10"/>
      <c r="I46" s="10"/>
      <c r="J46" s="10"/>
      <c r="K46" s="10"/>
      <c r="L46" s="10"/>
      <c r="M46" s="10"/>
      <c r="N46" s="10"/>
      <c r="O46" s="10"/>
    </row>
    <row r="47" spans="2:15" x14ac:dyDescent="0.2">
      <c r="B47" s="9"/>
      <c r="C47" s="6"/>
      <c r="D47" s="6"/>
      <c r="E47" s="10"/>
      <c r="F47" s="21"/>
      <c r="G47" s="21"/>
      <c r="H47" s="10"/>
      <c r="I47" s="10"/>
      <c r="J47" s="10"/>
      <c r="K47" s="10"/>
      <c r="L47" s="10"/>
      <c r="M47" s="10"/>
      <c r="N47" s="10"/>
      <c r="O47" s="10"/>
    </row>
    <row r="48" spans="2:15" x14ac:dyDescent="0.2">
      <c r="B48" s="9"/>
      <c r="C48" s="6"/>
      <c r="D48" s="6"/>
      <c r="E48" s="10"/>
      <c r="F48" s="21"/>
      <c r="G48" s="21"/>
      <c r="H48" s="10"/>
      <c r="I48" s="10"/>
      <c r="J48" s="10"/>
      <c r="K48" s="10"/>
      <c r="L48" s="10"/>
      <c r="M48" s="10"/>
      <c r="N48" s="10"/>
      <c r="O48" s="10"/>
    </row>
    <row r="49" spans="2:15" x14ac:dyDescent="0.2">
      <c r="C49" s="6"/>
      <c r="D49" s="6"/>
      <c r="E49" s="10"/>
      <c r="F49" s="21"/>
      <c r="G49" s="21"/>
      <c r="H49" s="10"/>
      <c r="I49" s="10"/>
      <c r="J49" s="10"/>
      <c r="K49" s="10"/>
      <c r="L49" s="10"/>
      <c r="M49" s="10"/>
      <c r="N49" s="10"/>
      <c r="O49" s="10"/>
    </row>
    <row r="50" spans="2:15" x14ac:dyDescent="0.2">
      <c r="B50" s="9"/>
      <c r="C50" s="6"/>
      <c r="D50" s="6"/>
      <c r="E50" s="10"/>
      <c r="F50" s="21"/>
      <c r="G50" s="21"/>
      <c r="H50" s="10"/>
      <c r="I50" s="10"/>
      <c r="J50" s="10"/>
      <c r="K50" s="10"/>
      <c r="L50" s="10"/>
      <c r="M50" s="10"/>
      <c r="N50" s="10"/>
      <c r="O50" s="10"/>
    </row>
    <row r="51" spans="2:15" x14ac:dyDescent="0.2">
      <c r="B51" s="19"/>
      <c r="D51" s="6"/>
      <c r="E51" s="10"/>
      <c r="F51" s="21"/>
      <c r="G51" s="21"/>
      <c r="H51" s="10"/>
      <c r="I51" s="10"/>
      <c r="J51" s="10"/>
      <c r="K51" s="10"/>
      <c r="L51" s="10"/>
      <c r="M51" s="10"/>
      <c r="N51" s="10"/>
      <c r="O51" s="10"/>
    </row>
    <row r="52" spans="2:15" x14ac:dyDescent="0.2">
      <c r="B52" s="9"/>
      <c r="C52" s="6"/>
      <c r="D52" s="6"/>
      <c r="E52" s="10"/>
      <c r="F52" s="21"/>
      <c r="G52" s="21"/>
      <c r="H52" s="10"/>
      <c r="I52" s="10"/>
      <c r="J52" s="10"/>
      <c r="K52" s="10"/>
      <c r="L52" s="10"/>
      <c r="M52" s="10"/>
      <c r="N52" s="10"/>
      <c r="O52" s="10"/>
    </row>
    <row r="53" spans="2:15" x14ac:dyDescent="0.2">
      <c r="B53" s="9"/>
      <c r="C53" s="6"/>
      <c r="D53" s="6"/>
      <c r="E53" s="10"/>
      <c r="F53" s="21"/>
      <c r="G53" s="21"/>
      <c r="H53" s="10"/>
      <c r="I53" s="10"/>
      <c r="J53" s="10"/>
      <c r="K53" s="10"/>
      <c r="L53" s="10"/>
      <c r="M53" s="10"/>
      <c r="N53" s="10"/>
      <c r="O53" s="10"/>
    </row>
    <row r="54" spans="2:15" x14ac:dyDescent="0.2">
      <c r="D54" s="6"/>
      <c r="E54" s="10"/>
      <c r="F54" s="21"/>
      <c r="G54" s="21"/>
      <c r="H54" s="10"/>
      <c r="I54" s="10"/>
      <c r="J54" s="10"/>
      <c r="K54" s="10"/>
      <c r="L54" s="10"/>
      <c r="M54" s="10"/>
      <c r="N54" s="10"/>
      <c r="O54" s="10"/>
    </row>
    <row r="55" spans="2:15" x14ac:dyDescent="0.2">
      <c r="D55" s="6"/>
      <c r="E55" s="10"/>
      <c r="F55" s="21"/>
      <c r="G55" s="21"/>
      <c r="H55" s="10"/>
      <c r="I55" s="10"/>
      <c r="J55" s="10"/>
      <c r="K55" s="10"/>
      <c r="L55" s="10"/>
      <c r="M55" s="10"/>
      <c r="N55" s="10"/>
      <c r="O55" s="10"/>
    </row>
    <row r="56" spans="2:15" x14ac:dyDescent="0.2">
      <c r="D56" s="6"/>
      <c r="E56" s="10"/>
      <c r="F56" s="21"/>
      <c r="G56" s="21"/>
      <c r="H56" s="10"/>
      <c r="I56" s="10"/>
      <c r="J56" s="10"/>
      <c r="K56" s="10"/>
      <c r="L56" s="10"/>
      <c r="M56" s="10"/>
      <c r="N56" s="10"/>
      <c r="O56" s="10"/>
    </row>
  </sheetData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B2:J53"/>
  <sheetViews>
    <sheetView workbookViewId="0">
      <selection activeCell="H6" sqref="H6"/>
    </sheetView>
  </sheetViews>
  <sheetFormatPr defaultRowHeight="12.75" x14ac:dyDescent="0.2"/>
  <cols>
    <col min="2" max="2" width="48.5703125" customWidth="1"/>
    <col min="3" max="3" width="12" bestFit="1" customWidth="1"/>
    <col min="7" max="7" width="8.85546875" customWidth="1"/>
  </cols>
  <sheetData>
    <row r="2" spans="2:9" x14ac:dyDescent="0.2">
      <c r="B2" s="50" t="s">
        <v>115</v>
      </c>
      <c r="H2" s="5"/>
    </row>
    <row r="3" spans="2:9" x14ac:dyDescent="0.2">
      <c r="B3" s="51" t="s">
        <v>156</v>
      </c>
      <c r="H3" s="5"/>
    </row>
    <row r="4" spans="2:9" x14ac:dyDescent="0.2">
      <c r="H4" s="5"/>
    </row>
    <row r="5" spans="2:9" x14ac:dyDescent="0.2">
      <c r="B5" t="s">
        <v>2</v>
      </c>
      <c r="C5" s="8">
        <f>'Short tunnels'!C13</f>
        <v>8</v>
      </c>
      <c r="D5" s="6"/>
      <c r="H5" s="5"/>
    </row>
    <row r="6" spans="2:9" x14ac:dyDescent="0.2">
      <c r="B6" t="s">
        <v>3</v>
      </c>
      <c r="C6" s="8">
        <f>'Short tunnels'!C12</f>
        <v>6</v>
      </c>
      <c r="D6" s="6"/>
    </row>
    <row r="7" spans="2:9" x14ac:dyDescent="0.2">
      <c r="B7" t="s">
        <v>9</v>
      </c>
      <c r="C7" s="7">
        <f>'Short tunnels'!C5</f>
        <v>230</v>
      </c>
    </row>
    <row r="8" spans="2:9" x14ac:dyDescent="0.2">
      <c r="B8" t="s">
        <v>43</v>
      </c>
      <c r="C8" s="7">
        <f>'Short tunnels'!C17</f>
        <v>5</v>
      </c>
    </row>
    <row r="9" spans="2:9" x14ac:dyDescent="0.2">
      <c r="B9" s="19" t="s">
        <v>47</v>
      </c>
      <c r="D9" s="6"/>
    </row>
    <row r="10" spans="2:9" x14ac:dyDescent="0.2">
      <c r="B10" s="9" t="s">
        <v>92</v>
      </c>
      <c r="C10" s="7">
        <f>'Short tunnels'!C21</f>
        <v>2000</v>
      </c>
      <c r="D10" s="6"/>
      <c r="E10" s="1"/>
    </row>
    <row r="11" spans="2:9" x14ac:dyDescent="0.2">
      <c r="B11" s="9" t="s">
        <v>46</v>
      </c>
      <c r="C11" s="7">
        <f>'Short tunnels'!C22</f>
        <v>0</v>
      </c>
      <c r="D11" s="6"/>
      <c r="E11" s="1"/>
    </row>
    <row r="12" spans="2:9" x14ac:dyDescent="0.2">
      <c r="B12" t="s">
        <v>44</v>
      </c>
      <c r="C12" s="8"/>
      <c r="D12" s="6"/>
      <c r="E12" s="1"/>
    </row>
    <row r="13" spans="2:9" x14ac:dyDescent="0.2">
      <c r="B13" s="9" t="s">
        <v>0</v>
      </c>
      <c r="C13" s="47">
        <f>'Location of the observer'!E23</f>
        <v>1.0000022204460495</v>
      </c>
    </row>
    <row r="14" spans="2:9" x14ac:dyDescent="0.2">
      <c r="B14" s="9" t="s">
        <v>1</v>
      </c>
      <c r="C14" s="47">
        <f>'Location of the observer'!E24</f>
        <v>-229.99999994939992</v>
      </c>
    </row>
    <row r="15" spans="2:9" x14ac:dyDescent="0.2">
      <c r="B15" s="9" t="s">
        <v>45</v>
      </c>
      <c r="C15" s="47">
        <f>'Location of the observer'!E25</f>
        <v>1.2000022204460488</v>
      </c>
    </row>
    <row r="16" spans="2:9" x14ac:dyDescent="0.2">
      <c r="H16" s="1"/>
      <c r="I16" s="1"/>
    </row>
    <row r="17" spans="2:9" x14ac:dyDescent="0.2">
      <c r="B17" s="19" t="s">
        <v>118</v>
      </c>
      <c r="C17" s="36">
        <f>IF(C10=0,999999999,C10)</f>
        <v>2000</v>
      </c>
      <c r="H17" s="2"/>
      <c r="I17" s="2"/>
    </row>
    <row r="18" spans="2:9" x14ac:dyDescent="0.2">
      <c r="B18" s="19" t="s">
        <v>119</v>
      </c>
      <c r="C18" s="36">
        <f>IF(C11=0,999999999,C11)</f>
        <v>999999999</v>
      </c>
      <c r="H18" s="1"/>
      <c r="I18" s="1"/>
    </row>
    <row r="19" spans="2:9" x14ac:dyDescent="0.2">
      <c r="B19" s="9"/>
      <c r="C19" s="6"/>
      <c r="F19" s="1"/>
      <c r="H19" s="1"/>
      <c r="I19" s="1"/>
    </row>
    <row r="20" spans="2:9" x14ac:dyDescent="0.2">
      <c r="B20" s="19" t="s">
        <v>53</v>
      </c>
      <c r="C20" s="19" t="s">
        <v>144</v>
      </c>
      <c r="D20" s="19"/>
      <c r="E20" t="s">
        <v>142</v>
      </c>
      <c r="F20" s="2"/>
    </row>
    <row r="21" spans="2:9" x14ac:dyDescent="0.2">
      <c r="B21" s="9" t="s">
        <v>51</v>
      </c>
      <c r="C21" s="6">
        <f>C18</f>
        <v>999999999</v>
      </c>
      <c r="D21" s="19"/>
      <c r="E21" s="19"/>
      <c r="F21" s="1"/>
    </row>
    <row r="22" spans="2:9" x14ac:dyDescent="0.2">
      <c r="B22" s="9" t="s">
        <v>50</v>
      </c>
      <c r="C22" s="21">
        <f>C$8/C18</f>
        <v>5.000000005E-9</v>
      </c>
      <c r="D22" s="19"/>
      <c r="E22" s="42"/>
      <c r="F22" s="1"/>
      <c r="H22" s="1"/>
      <c r="I22" s="1"/>
    </row>
    <row r="23" spans="2:9" x14ac:dyDescent="0.2">
      <c r="B23" s="9" t="s">
        <v>136</v>
      </c>
      <c r="C23" s="21">
        <f>SIN(C22)*(C21-C5/2)</f>
        <v>4.9999999800000001</v>
      </c>
      <c r="D23" s="19"/>
      <c r="E23" s="43"/>
      <c r="H23" s="17"/>
      <c r="I23" s="17"/>
    </row>
    <row r="24" spans="2:9" x14ac:dyDescent="0.2">
      <c r="B24" s="9" t="s">
        <v>137</v>
      </c>
      <c r="C24" s="21">
        <f>SIN(C22)*(C21+C5/2)</f>
        <v>5.0000000199999999</v>
      </c>
      <c r="D24" s="19"/>
      <c r="E24" s="43"/>
      <c r="H24" s="1"/>
      <c r="I24" s="1"/>
    </row>
    <row r="25" spans="2:9" x14ac:dyDescent="0.2">
      <c r="B25" s="9" t="s">
        <v>134</v>
      </c>
      <c r="C25" s="21">
        <f>COS(C22)*C5/2+(1-COS(C22))*C18</f>
        <v>4</v>
      </c>
      <c r="D25" s="19"/>
      <c r="E25" s="43"/>
      <c r="F25" s="1"/>
      <c r="H25" s="1"/>
      <c r="I25" s="1"/>
    </row>
    <row r="26" spans="2:9" x14ac:dyDescent="0.2">
      <c r="B26" s="9" t="s">
        <v>135</v>
      </c>
      <c r="C26" s="21">
        <f>-COS(C22)*C5/2+(1-COS(C22))*C21</f>
        <v>-4</v>
      </c>
      <c r="D26" s="19"/>
      <c r="E26" s="43"/>
      <c r="F26" s="17"/>
    </row>
    <row r="27" spans="2:9" x14ac:dyDescent="0.2">
      <c r="B27" s="9" t="s">
        <v>132</v>
      </c>
      <c r="C27" s="21">
        <f>C25+(C$13-C25)*C23/(-C$14+C23)</f>
        <v>3.9361702602456332</v>
      </c>
      <c r="D27" s="19"/>
      <c r="E27" s="21">
        <f>IF(C27&gt;C$5/2,C$5/2,C27)</f>
        <v>3.9361702602456332</v>
      </c>
      <c r="F27" s="1"/>
    </row>
    <row r="28" spans="2:9" x14ac:dyDescent="0.2">
      <c r="B28" s="9" t="s">
        <v>133</v>
      </c>
      <c r="C28" s="21">
        <f>C26+(C$13-C26)*C24/(-C$14+C24)</f>
        <v>-3.8936169735936783</v>
      </c>
      <c r="D28" s="44"/>
      <c r="E28" s="21">
        <f>IF(C28&lt;-C$5/2,-C$5/2,C28)</f>
        <v>-3.8936169735936783</v>
      </c>
      <c r="F28" s="1"/>
    </row>
    <row r="30" spans="2:9" x14ac:dyDescent="0.2">
      <c r="B30" t="s">
        <v>52</v>
      </c>
      <c r="C30" t="s">
        <v>144</v>
      </c>
      <c r="E30" t="s">
        <v>142</v>
      </c>
      <c r="F30" s="19"/>
      <c r="G30" s="19"/>
    </row>
    <row r="31" spans="2:9" x14ac:dyDescent="0.2">
      <c r="B31" s="9" t="s">
        <v>51</v>
      </c>
      <c r="C31" s="16">
        <f>C17-C6</f>
        <v>1994</v>
      </c>
      <c r="F31" s="19"/>
      <c r="G31" s="19"/>
    </row>
    <row r="32" spans="2:9" x14ac:dyDescent="0.2">
      <c r="B32" s="9" t="s">
        <v>50</v>
      </c>
      <c r="C32" s="21">
        <f>C$8/C17</f>
        <v>2.5000000000000001E-3</v>
      </c>
      <c r="F32" s="19"/>
      <c r="G32" s="42"/>
    </row>
    <row r="33" spans="2:10" x14ac:dyDescent="0.2">
      <c r="B33" s="9" t="s">
        <v>140</v>
      </c>
      <c r="C33" s="21">
        <f>SIN(C32)*C17</f>
        <v>4.9999947916682945</v>
      </c>
      <c r="F33" s="43"/>
      <c r="G33" s="43"/>
    </row>
    <row r="34" spans="2:10" x14ac:dyDescent="0.2">
      <c r="B34" s="9" t="s">
        <v>141</v>
      </c>
      <c r="C34" s="21">
        <f>SIN(C32)*C31</f>
        <v>4.9849948072932895</v>
      </c>
      <c r="F34" s="43"/>
      <c r="G34" s="43"/>
    </row>
    <row r="35" spans="2:10" x14ac:dyDescent="0.2">
      <c r="B35" s="9" t="s">
        <v>138</v>
      </c>
      <c r="C35" s="21">
        <f>(1-COS(C32))*C17</f>
        <v>6.2499967448115257E-3</v>
      </c>
      <c r="F35" s="43"/>
      <c r="G35" s="43"/>
    </row>
    <row r="36" spans="2:10" x14ac:dyDescent="0.2">
      <c r="B36" s="9" t="s">
        <v>139</v>
      </c>
      <c r="C36" s="21">
        <f>C6-(1-COS(C32))</f>
        <v>5.9999968750016279</v>
      </c>
      <c r="F36" s="43"/>
      <c r="G36" s="43"/>
      <c r="H36" s="1"/>
    </row>
    <row r="37" spans="2:10" x14ac:dyDescent="0.2">
      <c r="B37" s="9" t="s">
        <v>130</v>
      </c>
      <c r="C37" s="21">
        <f>C35+(C$15-C35)*C33/(-C$14+C33)</f>
        <v>3.1648954338939259E-2</v>
      </c>
      <c r="E37" s="21">
        <f>IF(C37&lt;0,0,C37)</f>
        <v>3.1648954338939259E-2</v>
      </c>
      <c r="F37" s="43"/>
      <c r="G37" s="43"/>
      <c r="H37" s="1"/>
    </row>
    <row r="38" spans="2:10" x14ac:dyDescent="0.2">
      <c r="B38" s="9" t="s">
        <v>131</v>
      </c>
      <c r="C38" s="21">
        <f>C36+(C$15-C36)*C34/(-C$14+C34)</f>
        <v>5.8981693159578237</v>
      </c>
      <c r="E38" s="21">
        <f>IF(C38&gt;C6,C6,C38)</f>
        <v>5.8981693159578237</v>
      </c>
      <c r="F38" s="43"/>
      <c r="G38" s="43"/>
    </row>
    <row r="39" spans="2:10" x14ac:dyDescent="0.2">
      <c r="D39" s="2"/>
      <c r="E39" s="21"/>
      <c r="F39" s="21"/>
      <c r="G39" s="21"/>
    </row>
    <row r="40" spans="2:10" x14ac:dyDescent="0.2">
      <c r="B40" s="19" t="s">
        <v>143</v>
      </c>
      <c r="C40" s="10">
        <f>(C38-C37)*(C27-C28)</f>
        <v>45.933606234461926</v>
      </c>
      <c r="D40" s="10"/>
      <c r="E40" s="10">
        <f>(E38-E37)*(E27-E28)</f>
        <v>45.933606234461926</v>
      </c>
      <c r="F40" s="19"/>
      <c r="G40" s="19" t="s">
        <v>145</v>
      </c>
    </row>
    <row r="42" spans="2:10" x14ac:dyDescent="0.2">
      <c r="B42" t="s">
        <v>146</v>
      </c>
      <c r="F42" s="19"/>
      <c r="I42" s="21"/>
      <c r="J42" s="21"/>
    </row>
    <row r="43" spans="2:10" x14ac:dyDescent="0.2">
      <c r="B43" s="9" t="s">
        <v>20</v>
      </c>
      <c r="C43" s="6" t="s">
        <v>0</v>
      </c>
      <c r="D43" s="6" t="s">
        <v>45</v>
      </c>
      <c r="F43" s="9"/>
      <c r="G43" s="6"/>
      <c r="H43" s="4"/>
      <c r="I43" s="21"/>
      <c r="J43" s="21"/>
    </row>
    <row r="44" spans="2:10" x14ac:dyDescent="0.2">
      <c r="B44" s="9" t="s">
        <v>10</v>
      </c>
      <c r="C44" s="21">
        <f>C27</f>
        <v>3.9361702602456332</v>
      </c>
      <c r="D44" s="21">
        <f>C37</f>
        <v>3.1648954338939259E-2</v>
      </c>
      <c r="G44" s="6"/>
      <c r="H44" s="1"/>
      <c r="I44" s="21"/>
      <c r="J44" s="21"/>
    </row>
    <row r="45" spans="2:10" x14ac:dyDescent="0.2">
      <c r="B45" s="9" t="s">
        <v>11</v>
      </c>
      <c r="C45" s="21">
        <f>C28</f>
        <v>-3.8936169735936783</v>
      </c>
      <c r="D45" s="21">
        <f>C37</f>
        <v>3.1648954338939259E-2</v>
      </c>
      <c r="G45" s="6"/>
      <c r="H45" s="18"/>
      <c r="I45" s="21"/>
      <c r="J45" s="21"/>
    </row>
    <row r="46" spans="2:10" x14ac:dyDescent="0.2">
      <c r="B46" s="9" t="s">
        <v>12</v>
      </c>
      <c r="C46" s="21">
        <f>C28</f>
        <v>-3.8936169735936783</v>
      </c>
      <c r="D46" s="21">
        <f>C38</f>
        <v>5.8981693159578237</v>
      </c>
      <c r="H46" s="18"/>
      <c r="I46" s="21"/>
      <c r="J46" s="21"/>
    </row>
    <row r="47" spans="2:10" x14ac:dyDescent="0.2">
      <c r="B47" s="9" t="s">
        <v>13</v>
      </c>
      <c r="C47" s="21">
        <f>C27</f>
        <v>3.9361702602456332</v>
      </c>
      <c r="D47" s="21">
        <f>C38</f>
        <v>5.8981693159578237</v>
      </c>
      <c r="G47" s="6"/>
      <c r="H47" s="18"/>
    </row>
    <row r="48" spans="2:10" x14ac:dyDescent="0.2">
      <c r="B48" s="9" t="s">
        <v>10</v>
      </c>
      <c r="C48" s="21">
        <f>C44</f>
        <v>3.9361702602456332</v>
      </c>
      <c r="D48" s="21">
        <f>D44</f>
        <v>3.1648954338939259E-2</v>
      </c>
      <c r="G48" s="6"/>
      <c r="H48" s="3"/>
    </row>
    <row r="49" spans="2:8" x14ac:dyDescent="0.2">
      <c r="B49" s="19" t="s">
        <v>174</v>
      </c>
      <c r="C49" t="s">
        <v>7</v>
      </c>
      <c r="D49" s="18"/>
      <c r="G49" s="6"/>
      <c r="H49" s="1"/>
    </row>
    <row r="50" spans="2:8" x14ac:dyDescent="0.2">
      <c r="B50" s="9"/>
      <c r="C50" s="6"/>
      <c r="D50" s="1"/>
      <c r="F50" s="9"/>
      <c r="G50" s="6"/>
      <c r="H50" s="1"/>
    </row>
    <row r="51" spans="2:8" x14ac:dyDescent="0.2">
      <c r="B51" s="19"/>
      <c r="F51" s="19"/>
    </row>
    <row r="52" spans="2:8" x14ac:dyDescent="0.2">
      <c r="B52" s="9"/>
      <c r="C52" s="6"/>
      <c r="D52" s="1"/>
      <c r="F52" s="9"/>
      <c r="G52" s="6"/>
      <c r="H52" s="1"/>
    </row>
    <row r="53" spans="2:8" x14ac:dyDescent="0.2">
      <c r="B53" s="9"/>
      <c r="C53" s="6"/>
    </row>
  </sheetData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86"/>
  <sheetViews>
    <sheetView topLeftCell="A44" workbookViewId="0">
      <selection activeCell="C85" sqref="C85"/>
    </sheetView>
  </sheetViews>
  <sheetFormatPr defaultRowHeight="12.75" x14ac:dyDescent="0.2"/>
  <cols>
    <col min="2" max="2" width="31.85546875" customWidth="1"/>
    <col min="6" max="6" width="9.5703125" bestFit="1" customWidth="1"/>
    <col min="22" max="22" width="11.85546875" bestFit="1" customWidth="1"/>
  </cols>
  <sheetData>
    <row r="1" spans="1:41" x14ac:dyDescent="0.2">
      <c r="A1" s="6"/>
      <c r="B1" t="s">
        <v>115</v>
      </c>
    </row>
    <row r="2" spans="1:41" x14ac:dyDescent="0.2">
      <c r="A2" s="6"/>
      <c r="B2" t="s">
        <v>156</v>
      </c>
      <c r="F2" t="s">
        <v>158</v>
      </c>
    </row>
    <row r="3" spans="1:41" x14ac:dyDescent="0.2">
      <c r="A3" s="6"/>
      <c r="B3" t="s">
        <v>162</v>
      </c>
      <c r="F3" t="s">
        <v>157</v>
      </c>
    </row>
    <row r="4" spans="1:41" x14ac:dyDescent="0.2">
      <c r="A4" s="6"/>
      <c r="F4" t="s">
        <v>159</v>
      </c>
    </row>
    <row r="5" spans="1:41" x14ac:dyDescent="0.2">
      <c r="A5" s="6"/>
      <c r="F5" t="s">
        <v>161</v>
      </c>
      <c r="H5" s="6"/>
    </row>
    <row r="6" spans="1:41" x14ac:dyDescent="0.2">
      <c r="G6" s="6"/>
      <c r="N6" s="6"/>
      <c r="V6" t="s">
        <v>93</v>
      </c>
    </row>
    <row r="7" spans="1:41" x14ac:dyDescent="0.2">
      <c r="B7" s="37" t="s">
        <v>85</v>
      </c>
      <c r="G7" s="6"/>
      <c r="K7" s="19" t="s">
        <v>76</v>
      </c>
      <c r="N7" s="19" t="s">
        <v>77</v>
      </c>
      <c r="P7" t="s">
        <v>78</v>
      </c>
      <c r="R7" t="s">
        <v>79</v>
      </c>
      <c r="V7" t="s">
        <v>81</v>
      </c>
      <c r="W7" t="s">
        <v>82</v>
      </c>
      <c r="X7" t="s">
        <v>97</v>
      </c>
      <c r="Y7" t="s">
        <v>98</v>
      </c>
    </row>
    <row r="8" spans="1:41" x14ac:dyDescent="0.2">
      <c r="B8" t="s">
        <v>83</v>
      </c>
      <c r="C8" s="7">
        <f>'Short tunnels'!C21</f>
        <v>2000</v>
      </c>
      <c r="D8" s="6"/>
      <c r="F8" s="6" t="s">
        <v>73</v>
      </c>
      <c r="G8" s="6" t="s">
        <v>160</v>
      </c>
      <c r="H8" s="6" t="s">
        <v>1</v>
      </c>
      <c r="I8" s="6" t="s">
        <v>71</v>
      </c>
      <c r="J8" s="6" t="s">
        <v>72</v>
      </c>
      <c r="K8" s="6" t="s">
        <v>0</v>
      </c>
      <c r="L8" s="6" t="s">
        <v>1</v>
      </c>
      <c r="M8" s="6" t="s">
        <v>45</v>
      </c>
      <c r="N8" s="6" t="s">
        <v>1</v>
      </c>
      <c r="O8" s="6" t="s">
        <v>45</v>
      </c>
      <c r="P8" s="6" t="s">
        <v>0</v>
      </c>
      <c r="Q8" s="6" t="s">
        <v>1</v>
      </c>
      <c r="R8" s="6" t="s">
        <v>0</v>
      </c>
      <c r="S8" s="6" t="s">
        <v>1</v>
      </c>
      <c r="T8" s="6" t="s">
        <v>80</v>
      </c>
      <c r="U8" s="6" t="s">
        <v>75</v>
      </c>
      <c r="V8" s="6" t="s">
        <v>45</v>
      </c>
      <c r="W8" s="6" t="s">
        <v>45</v>
      </c>
      <c r="X8" s="6" t="s">
        <v>0</v>
      </c>
      <c r="Y8" s="6" t="s">
        <v>0</v>
      </c>
      <c r="AM8" s="6"/>
      <c r="AN8" s="6"/>
      <c r="AO8" s="6"/>
    </row>
    <row r="9" spans="1:41" x14ac:dyDescent="0.2">
      <c r="B9" t="s">
        <v>84</v>
      </c>
      <c r="C9" s="7">
        <f>'Short tunnels'!C22</f>
        <v>0</v>
      </c>
      <c r="D9" s="6"/>
      <c r="F9" s="6">
        <v>0</v>
      </c>
      <c r="G9" s="10">
        <v>0</v>
      </c>
      <c r="H9" s="10">
        <v>0</v>
      </c>
      <c r="I9" s="21">
        <f t="shared" ref="I9:I39" si="0">H9/C$27</f>
        <v>0</v>
      </c>
      <c r="J9" s="21">
        <f t="shared" ref="J9:J39" si="1">IF(T9=0,ASIN(L9/C$28),3.1416/2)</f>
        <v>0</v>
      </c>
      <c r="K9" s="10">
        <f t="shared" ref="K9:K39" si="2">IF(C$9&gt;0,C$28*(1-COS(J9)),-C$28*(1-COS(J9)))</f>
        <v>0</v>
      </c>
      <c r="L9" s="10">
        <f>C$27*SIN(I9)</f>
        <v>0</v>
      </c>
      <c r="M9" s="10">
        <f>C$27*(1-COS(I9))</f>
        <v>0</v>
      </c>
      <c r="N9" s="10">
        <f t="shared" ref="N9:N39" si="3">L9-C$24*SIN(I9)</f>
        <v>0</v>
      </c>
      <c r="O9" s="10">
        <f t="shared" ref="O9:O39" si="4">M9+C$24*COS(I9)</f>
        <v>6</v>
      </c>
      <c r="P9" s="10">
        <f t="shared" ref="P9:P39" si="5">K9-COS(J9)*C$25/2</f>
        <v>-4</v>
      </c>
      <c r="Q9" s="10">
        <f t="shared" ref="Q9:Q39" si="6">IF(C$9&gt;0,L9+SIN(J9)*C$25/2,L9-SIN(J9)*C$25/2)</f>
        <v>0</v>
      </c>
      <c r="R9" s="10">
        <f t="shared" ref="R9:R39" si="7">K9+COS(J9)*C$25/2</f>
        <v>4</v>
      </c>
      <c r="S9" s="10">
        <f t="shared" ref="S9:S39" si="8">IF(C$9&gt;0,L9-SIN(J9)*C$25/2,L9+SIN(J9)*C$25/2)</f>
        <v>0</v>
      </c>
      <c r="T9" s="6">
        <f>IF(M9&gt;C$28,1,0)</f>
        <v>0</v>
      </c>
      <c r="U9" s="10">
        <v>0</v>
      </c>
      <c r="V9" s="10">
        <f t="shared" ref="V9:V39" si="9">(C$30*L9+C$32*M9)/(C$32+L9)</f>
        <v>0</v>
      </c>
      <c r="W9" s="10">
        <f t="shared" ref="W9:W39" si="10">(C$30*N9+C$32*O9)/(C$32+N9)</f>
        <v>6</v>
      </c>
      <c r="X9" s="10">
        <f t="shared" ref="X9:X39" si="11">(C$31*Q9+C$32*P9)/(C$32+Q9)</f>
        <v>-4</v>
      </c>
      <c r="Y9" s="10">
        <f t="shared" ref="Y9:Y39" si="12">(C$31*S9+C$32*R9)/(C$32+S9)</f>
        <v>4</v>
      </c>
      <c r="AM9" s="10"/>
      <c r="AN9" s="10"/>
      <c r="AO9" s="10"/>
    </row>
    <row r="10" spans="1:41" x14ac:dyDescent="0.2">
      <c r="B10" t="s">
        <v>86</v>
      </c>
      <c r="C10" s="38">
        <f>'Short tunnels'!C14</f>
        <v>80</v>
      </c>
      <c r="D10" s="6"/>
      <c r="F10" s="6">
        <v>1</v>
      </c>
      <c r="G10" s="10">
        <f t="shared" ref="G10:G39" si="13">G9+C$29</f>
        <v>2.3333333333333335</v>
      </c>
      <c r="H10" s="10">
        <f>H9+C$29</f>
        <v>2.3333333333333335</v>
      </c>
      <c r="I10" s="21">
        <f t="shared" si="0"/>
        <v>1.1666666666666668E-3</v>
      </c>
      <c r="J10" s="21">
        <f t="shared" si="1"/>
        <v>2.3333330373457069E-7</v>
      </c>
      <c r="K10" s="10">
        <f t="shared" si="2"/>
        <v>-2.7200461383269925E-7</v>
      </c>
      <c r="L10" s="10">
        <f t="shared" ref="L10:L39" si="14">IF(T9=0,C$27*SIN(I10),L9)</f>
        <v>2.333332804012382</v>
      </c>
      <c r="M10" s="10">
        <f t="shared" ref="M10:M39" si="15">IF(T9=0,C$27*(1-COS(I10)),M9)</f>
        <v>1.3611109568323343E-3</v>
      </c>
      <c r="N10" s="10">
        <f t="shared" si="3"/>
        <v>2.3263328056003449</v>
      </c>
      <c r="O10" s="10">
        <f t="shared" si="4"/>
        <v>6.0013570276239623</v>
      </c>
      <c r="P10" s="10">
        <f t="shared" si="5"/>
        <v>-4.0000002720045051</v>
      </c>
      <c r="Q10" s="10">
        <f t="shared" si="6"/>
        <v>2.3333318706791668</v>
      </c>
      <c r="R10" s="10">
        <f t="shared" si="7"/>
        <v>3.9999997279952773</v>
      </c>
      <c r="S10" s="10">
        <f t="shared" si="8"/>
        <v>2.3333337373455971</v>
      </c>
      <c r="T10" s="6">
        <f t="shared" ref="T10:T39" si="16">IF(L10&gt;C$28,1+T9,T9)</f>
        <v>0</v>
      </c>
      <c r="U10" s="10">
        <f>SQRT((K10-K9)*(K10-K9)+(L10-L9)*(L10-L9)+(M10-M9)*(M10-M9))+U9</f>
        <v>2.3333332010031049</v>
      </c>
      <c r="V10" s="10">
        <f t="shared" si="9"/>
        <v>1.339911079036207E-2</v>
      </c>
      <c r="W10" s="10">
        <f t="shared" si="10"/>
        <v>5.9532800444132663</v>
      </c>
      <c r="X10" s="10">
        <f t="shared" si="11"/>
        <v>-3.9497850700887298</v>
      </c>
      <c r="Y10" s="10">
        <f t="shared" si="12"/>
        <v>3.9698706230354381</v>
      </c>
      <c r="AM10" s="10"/>
      <c r="AN10" s="10"/>
      <c r="AO10" s="10"/>
    </row>
    <row r="11" spans="1:41" x14ac:dyDescent="0.2">
      <c r="B11" t="s">
        <v>87</v>
      </c>
      <c r="C11" s="8">
        <f>'Short tunnels'!C13</f>
        <v>8</v>
      </c>
      <c r="D11" s="6"/>
      <c r="F11" s="6">
        <v>2</v>
      </c>
      <c r="G11" s="10">
        <f t="shared" si="13"/>
        <v>4.666666666666667</v>
      </c>
      <c r="H11" s="10">
        <f>H10+G11-U10</f>
        <v>4.6666667989968946</v>
      </c>
      <c r="I11" s="21">
        <f t="shared" si="0"/>
        <v>2.3333333994984473E-3</v>
      </c>
      <c r="J11" s="21">
        <f t="shared" si="1"/>
        <v>4.6666630310962588E-7</v>
      </c>
      <c r="K11" s="10">
        <f t="shared" si="2"/>
        <v>-1.0891286782443999E-6</v>
      </c>
      <c r="L11" s="10">
        <f t="shared" si="14"/>
        <v>4.6666625644297861</v>
      </c>
      <c r="M11" s="10">
        <f t="shared" si="15"/>
        <v>5.4444422830091099E-3</v>
      </c>
      <c r="N11" s="10">
        <f t="shared" si="3"/>
        <v>4.6526625767364971</v>
      </c>
      <c r="O11" s="10">
        <f t="shared" si="4"/>
        <v>6.0054281089561599</v>
      </c>
      <c r="P11" s="10">
        <f t="shared" si="5"/>
        <v>-4.0000010891282427</v>
      </c>
      <c r="Q11" s="10">
        <f t="shared" si="6"/>
        <v>4.6666606977645735</v>
      </c>
      <c r="R11" s="10">
        <f t="shared" si="7"/>
        <v>3.999998910870886</v>
      </c>
      <c r="S11" s="10">
        <f t="shared" si="8"/>
        <v>4.6666644310949987</v>
      </c>
      <c r="T11" s="6">
        <f t="shared" si="16"/>
        <v>0</v>
      </c>
      <c r="U11" s="10">
        <f>SQRT((K11-K10)*(K11-K10)+(L11-L10)*(L11-L10)+(M11-M10)*(M11-M10))+U10</f>
        <v>4.6666665343365423</v>
      </c>
      <c r="V11" s="10">
        <f t="shared" si="9"/>
        <v>2.9199832182387545E-2</v>
      </c>
      <c r="W11" s="10">
        <f t="shared" si="10"/>
        <v>5.9101467473212308</v>
      </c>
      <c r="X11" s="10">
        <f t="shared" si="11"/>
        <v>-3.9005693297588699</v>
      </c>
      <c r="Y11" s="10">
        <f t="shared" si="12"/>
        <v>3.9403399137757198</v>
      </c>
      <c r="AM11" s="10"/>
      <c r="AN11" s="10"/>
      <c r="AO11" s="10"/>
    </row>
    <row r="12" spans="1:41" x14ac:dyDescent="0.2">
      <c r="B12" t="s">
        <v>88</v>
      </c>
      <c r="C12" s="8">
        <f>'Short tunnels'!C12</f>
        <v>6</v>
      </c>
      <c r="D12" s="6"/>
      <c r="F12" s="6">
        <v>3</v>
      </c>
      <c r="G12" s="10">
        <f t="shared" si="13"/>
        <v>7</v>
      </c>
      <c r="H12" s="10">
        <f>H11+G12-U11</f>
        <v>7.0000002646603523</v>
      </c>
      <c r="I12" s="21">
        <f t="shared" si="0"/>
        <v>3.500000132330176E-3</v>
      </c>
      <c r="J12" s="21">
        <f t="shared" si="1"/>
        <v>6.9999866730000573E-7</v>
      </c>
      <c r="K12" s="10">
        <f t="shared" si="2"/>
        <v>-2.4502619703214989E-6</v>
      </c>
      <c r="L12" s="10">
        <f t="shared" si="14"/>
        <v>6.9999859730008183</v>
      </c>
      <c r="M12" s="10">
        <f t="shared" si="15"/>
        <v>1.2249988421197955E-2</v>
      </c>
      <c r="N12" s="10">
        <f t="shared" si="3"/>
        <v>6.9789860150818157</v>
      </c>
      <c r="O12" s="10">
        <f t="shared" si="4"/>
        <v>6.0122132384559341</v>
      </c>
      <c r="P12" s="10">
        <f t="shared" si="5"/>
        <v>-4.0000024502609905</v>
      </c>
      <c r="Q12" s="10">
        <f t="shared" si="6"/>
        <v>6.9999831730061493</v>
      </c>
      <c r="R12" s="10">
        <f t="shared" si="7"/>
        <v>3.9999975497370497</v>
      </c>
      <c r="S12" s="10">
        <f t="shared" si="8"/>
        <v>6.9999887729954873</v>
      </c>
      <c r="T12" s="6">
        <f t="shared" si="16"/>
        <v>0</v>
      </c>
      <c r="U12" s="10">
        <f t="shared" ref="U12:U38" si="17">SQRT((K12-K11)*(K12-K11)+(L12-L11)*(L12-L11)+(M12-M11)*(M12-M11))+U11</f>
        <v>6.9999998676701303</v>
      </c>
      <c r="V12" s="10">
        <f t="shared" si="9"/>
        <v>4.733120976058084E-2</v>
      </c>
      <c r="W12" s="10">
        <f t="shared" si="10"/>
        <v>5.8704945402362227</v>
      </c>
      <c r="X12" s="10">
        <f t="shared" si="11"/>
        <v>-3.852323331896562</v>
      </c>
      <c r="Y12" s="10">
        <f t="shared" si="12"/>
        <v>3.911390230651167</v>
      </c>
      <c r="AM12" s="10"/>
      <c r="AN12" s="10"/>
      <c r="AO12" s="10"/>
    </row>
    <row r="13" spans="1:41" x14ac:dyDescent="0.2">
      <c r="B13" t="s">
        <v>150</v>
      </c>
      <c r="C13" s="8">
        <f>'Short tunnels'!C17</f>
        <v>5</v>
      </c>
      <c r="D13" s="6"/>
      <c r="F13" s="6">
        <v>4</v>
      </c>
      <c r="G13" s="10">
        <f t="shared" si="13"/>
        <v>9.3333333333333339</v>
      </c>
      <c r="H13" s="10">
        <f t="shared" ref="H13:H38" si="18">H12+G13-U12</f>
        <v>9.333333730323556</v>
      </c>
      <c r="I13" s="21">
        <f t="shared" si="0"/>
        <v>4.666666865161778E-3</v>
      </c>
      <c r="J13" s="21">
        <f t="shared" si="1"/>
        <v>9.3333007871443446E-7</v>
      </c>
      <c r="K13" s="10">
        <f t="shared" si="2"/>
        <v>-4.3554044900639965E-6</v>
      </c>
      <c r="L13" s="10">
        <f t="shared" si="14"/>
        <v>9.3332998538129104</v>
      </c>
      <c r="M13" s="10">
        <f t="shared" si="15"/>
        <v>2.1777740107697952E-2</v>
      </c>
      <c r="N13" s="10">
        <f t="shared" si="3"/>
        <v>9.3052999542514723</v>
      </c>
      <c r="O13" s="10">
        <f t="shared" si="4"/>
        <v>6.0217124068873744</v>
      </c>
      <c r="P13" s="10">
        <f t="shared" si="5"/>
        <v>-4.0000043554027478</v>
      </c>
      <c r="Q13" s="10">
        <f t="shared" si="6"/>
        <v>9.3332961204925962</v>
      </c>
      <c r="R13" s="10">
        <f t="shared" si="7"/>
        <v>3.9999956445937679</v>
      </c>
      <c r="S13" s="10">
        <f t="shared" si="8"/>
        <v>9.3333035871332246</v>
      </c>
      <c r="T13" s="6">
        <f t="shared" si="16"/>
        <v>0</v>
      </c>
      <c r="U13" s="10">
        <f t="shared" si="17"/>
        <v>9.3333332010038426</v>
      </c>
      <c r="V13" s="10">
        <f t="shared" si="9"/>
        <v>6.7725054497891721E-2</v>
      </c>
      <c r="W13" s="10">
        <f t="shared" si="10"/>
        <v>5.8342219518269527</v>
      </c>
      <c r="X13" s="10">
        <f t="shared" si="11"/>
        <v>-3.805018773608984</v>
      </c>
      <c r="Y13" s="10">
        <f t="shared" si="12"/>
        <v>3.8830046158767804</v>
      </c>
      <c r="AM13" s="10"/>
      <c r="AN13" s="10"/>
      <c r="AO13" s="10"/>
    </row>
    <row r="14" spans="1:41" x14ac:dyDescent="0.2">
      <c r="B14" t="s">
        <v>151</v>
      </c>
      <c r="C14" s="8">
        <f>'Short tunnels'!C18</f>
        <v>10</v>
      </c>
      <c r="D14" s="6"/>
      <c r="F14" s="6">
        <v>5</v>
      </c>
      <c r="G14" s="10">
        <f t="shared" si="13"/>
        <v>11.666666666666668</v>
      </c>
      <c r="H14" s="10">
        <f t="shared" si="18"/>
        <v>11.666667195986381</v>
      </c>
      <c r="I14" s="21">
        <f t="shared" si="0"/>
        <v>5.833333597993191E-3</v>
      </c>
      <c r="J14" s="21">
        <f t="shared" si="1"/>
        <v>1.1666602197629359E-6</v>
      </c>
      <c r="K14" s="10">
        <f t="shared" si="2"/>
        <v>-6.8056664603854955E-6</v>
      </c>
      <c r="L14" s="10">
        <f t="shared" si="14"/>
        <v>11.666601030966492</v>
      </c>
      <c r="M14" s="10">
        <f t="shared" si="15"/>
        <v>3.4027684374660083E-2</v>
      </c>
      <c r="N14" s="10">
        <f t="shared" si="3"/>
        <v>11.631601227873592</v>
      </c>
      <c r="O14" s="10">
        <f t="shared" si="4"/>
        <v>6.0339256013215365</v>
      </c>
      <c r="P14" s="10">
        <f t="shared" si="5"/>
        <v>-4.0000068056637383</v>
      </c>
      <c r="Q14" s="10">
        <f t="shared" si="6"/>
        <v>11.666596364325613</v>
      </c>
      <c r="R14" s="10">
        <f t="shared" si="7"/>
        <v>3.9999931943308171</v>
      </c>
      <c r="S14" s="10">
        <f t="shared" si="8"/>
        <v>11.66660569760737</v>
      </c>
      <c r="T14" s="6">
        <f t="shared" si="16"/>
        <v>0</v>
      </c>
      <c r="U14" s="10">
        <f t="shared" si="17"/>
        <v>11.666666534337688</v>
      </c>
      <c r="V14" s="10">
        <f t="shared" si="9"/>
        <v>9.031580887936265E-2</v>
      </c>
      <c r="W14" s="10">
        <f t="shared" si="10"/>
        <v>5.8012314137297922</v>
      </c>
      <c r="X14" s="10">
        <f t="shared" si="11"/>
        <v>-3.7586284438404887</v>
      </c>
      <c r="Y14" s="10">
        <f t="shared" si="12"/>
        <v>3.8551667641544554</v>
      </c>
      <c r="AM14" s="10"/>
      <c r="AN14" s="10"/>
      <c r="AO14" s="10"/>
    </row>
    <row r="15" spans="1:41" x14ac:dyDescent="0.2">
      <c r="B15" t="s">
        <v>89</v>
      </c>
      <c r="C15" s="45">
        <f>'Location of the observer'!E25</f>
        <v>1.2000022204460488</v>
      </c>
      <c r="D15" s="6"/>
      <c r="F15" s="6">
        <v>6</v>
      </c>
      <c r="G15" s="10">
        <f t="shared" si="13"/>
        <v>14.000000000000002</v>
      </c>
      <c r="H15" s="10">
        <f t="shared" si="18"/>
        <v>14.000000661648697</v>
      </c>
      <c r="I15" s="21">
        <f t="shared" si="0"/>
        <v>7.0000003308243481E-3</v>
      </c>
      <c r="J15" s="21">
        <f t="shared" si="1"/>
        <v>1.3999887728572616E-6</v>
      </c>
      <c r="K15" s="10">
        <f t="shared" si="2"/>
        <v>-9.7999376583723929E-6</v>
      </c>
      <c r="L15" s="10">
        <f t="shared" si="14"/>
        <v>13.999886328579269</v>
      </c>
      <c r="M15" s="10">
        <f t="shared" si="15"/>
        <v>4.8999804548532921E-2</v>
      </c>
      <c r="N15" s="10">
        <f t="shared" si="3"/>
        <v>13.957886669593531</v>
      </c>
      <c r="O15" s="10">
        <f t="shared" si="4"/>
        <v>6.0488528051348869</v>
      </c>
      <c r="P15" s="10">
        <f t="shared" si="5"/>
        <v>-4.0000097999337383</v>
      </c>
      <c r="Q15" s="10">
        <f t="shared" si="6"/>
        <v>13.999880728624177</v>
      </c>
      <c r="R15" s="10">
        <f t="shared" si="7"/>
        <v>3.9999902000584218</v>
      </c>
      <c r="S15" s="10">
        <f t="shared" si="8"/>
        <v>13.99989192853436</v>
      </c>
      <c r="T15" s="6">
        <f t="shared" si="16"/>
        <v>0</v>
      </c>
      <c r="U15" s="10">
        <f t="shared" si="17"/>
        <v>13.999999867671658</v>
      </c>
      <c r="V15" s="10">
        <f t="shared" si="9"/>
        <v>0.11504042133852367</v>
      </c>
      <c r="W15" s="10">
        <f t="shared" si="10"/>
        <v>5.7714290748474566</v>
      </c>
      <c r="X15" s="10">
        <f t="shared" si="11"/>
        <v>-3.7131261681365002</v>
      </c>
      <c r="Y15" s="10">
        <f t="shared" si="12"/>
        <v>3.8278609946795661</v>
      </c>
      <c r="AM15" s="10"/>
      <c r="AN15" s="10"/>
      <c r="AO15" s="10"/>
    </row>
    <row r="16" spans="1:41" x14ac:dyDescent="0.2">
      <c r="B16" t="s">
        <v>90</v>
      </c>
      <c r="C16" s="45">
        <f>'Location of the observer'!E23</f>
        <v>1.0000022204460495</v>
      </c>
      <c r="D16" s="6"/>
      <c r="F16" s="6">
        <v>7</v>
      </c>
      <c r="G16" s="10">
        <f t="shared" si="13"/>
        <v>16.333333333333336</v>
      </c>
      <c r="H16" s="10">
        <f t="shared" si="18"/>
        <v>16.333334127310376</v>
      </c>
      <c r="I16" s="21">
        <f t="shared" si="0"/>
        <v>8.1666670636551877E-3</v>
      </c>
      <c r="J16" s="21">
        <f t="shared" si="1"/>
        <v>1.6333154204113257E-6</v>
      </c>
      <c r="K16" s="10">
        <f t="shared" si="2"/>
        <v>-1.3338218084024689E-5</v>
      </c>
      <c r="L16" s="10">
        <f t="shared" si="14"/>
        <v>16.333152570790574</v>
      </c>
      <c r="M16" s="10">
        <f t="shared" si="15"/>
        <v>6.6694080250284671E-2</v>
      </c>
      <c r="N16" s="10">
        <f t="shared" si="3"/>
        <v>16.284153113078201</v>
      </c>
      <c r="O16" s="10">
        <f t="shared" si="4"/>
        <v>6.066493998009534</v>
      </c>
      <c r="P16" s="10">
        <f t="shared" si="5"/>
        <v>-4.0000133382127485</v>
      </c>
      <c r="Q16" s="10">
        <f t="shared" si="6"/>
        <v>16.333146037528891</v>
      </c>
      <c r="R16" s="10">
        <f t="shared" si="7"/>
        <v>3.9999866617765809</v>
      </c>
      <c r="S16" s="10">
        <f t="shared" si="8"/>
        <v>16.333159104052257</v>
      </c>
      <c r="T16" s="6">
        <f t="shared" si="16"/>
        <v>0</v>
      </c>
      <c r="U16" s="10">
        <f t="shared" si="17"/>
        <v>16.33333320100575</v>
      </c>
      <c r="V16" s="10">
        <f t="shared" si="9"/>
        <v>0.14183822781693886</v>
      </c>
      <c r="W16" s="10">
        <f t="shared" si="10"/>
        <v>5.744724626151994</v>
      </c>
      <c r="X16" s="10">
        <f t="shared" si="11"/>
        <v>-3.6684867627602347</v>
      </c>
      <c r="Y16" s="10">
        <f t="shared" si="12"/>
        <v>3.8010722185152077</v>
      </c>
      <c r="AM16" s="10"/>
      <c r="AN16" s="10"/>
      <c r="AO16" s="10"/>
    </row>
    <row r="17" spans="2:41" x14ac:dyDescent="0.2">
      <c r="B17" t="s">
        <v>91</v>
      </c>
      <c r="C17" s="46">
        <f>'Location of the observer'!E24</f>
        <v>-229.99999994939992</v>
      </c>
      <c r="D17" s="6"/>
      <c r="F17" s="6">
        <v>8</v>
      </c>
      <c r="G17" s="10">
        <f t="shared" si="13"/>
        <v>18.666666666666668</v>
      </c>
      <c r="H17" s="10">
        <f t="shared" si="18"/>
        <v>18.666667592971294</v>
      </c>
      <c r="I17" s="21">
        <f t="shared" si="0"/>
        <v>9.3333337964856475E-3</v>
      </c>
      <c r="J17" s="21">
        <f t="shared" si="1"/>
        <v>1.8666398448416362E-6</v>
      </c>
      <c r="K17" s="10">
        <f t="shared" si="2"/>
        <v>-1.7421617960255986E-5</v>
      </c>
      <c r="L17" s="10">
        <f t="shared" si="14"/>
        <v>18.666396581765678</v>
      </c>
      <c r="M17" s="10">
        <f t="shared" si="15"/>
        <v>8.7110487396291347E-2</v>
      </c>
      <c r="N17" s="10">
        <f t="shared" si="3"/>
        <v>18.610397392020381</v>
      </c>
      <c r="O17" s="10">
        <f t="shared" si="4"/>
        <v>6.086849155934102</v>
      </c>
      <c r="P17" s="10">
        <f t="shared" si="5"/>
        <v>-4.0000174216109912</v>
      </c>
      <c r="Q17" s="10">
        <f t="shared" si="6"/>
        <v>18.6663891152063</v>
      </c>
      <c r="R17" s="10">
        <f t="shared" si="7"/>
        <v>3.9999825783750711</v>
      </c>
      <c r="S17" s="10">
        <f t="shared" si="8"/>
        <v>18.666404048325056</v>
      </c>
      <c r="T17" s="6">
        <f t="shared" si="16"/>
        <v>0</v>
      </c>
      <c r="U17" s="10">
        <f t="shared" si="17"/>
        <v>18.666666534339978</v>
      </c>
      <c r="V17" s="10">
        <f t="shared" si="9"/>
        <v>0.17065083997896002</v>
      </c>
      <c r="W17" s="10">
        <f t="shared" si="10"/>
        <v>5.7210311353043695</v>
      </c>
      <c r="X17" s="10">
        <f t="shared" si="11"/>
        <v>-3.6246859883063376</v>
      </c>
      <c r="Y17" s="10">
        <f t="shared" si="12"/>
        <v>3.7747859108805173</v>
      </c>
      <c r="AM17" s="10"/>
      <c r="AN17" s="10"/>
      <c r="AO17" s="10"/>
    </row>
    <row r="18" spans="2:41" x14ac:dyDescent="0.2">
      <c r="B18" t="s">
        <v>167</v>
      </c>
      <c r="C18" s="48">
        <f>'Apparent entrance portal'!E27</f>
        <v>3.9361702602456332</v>
      </c>
      <c r="D18" s="6"/>
      <c r="F18" s="6">
        <v>9</v>
      </c>
      <c r="G18" s="10">
        <f t="shared" si="13"/>
        <v>21</v>
      </c>
      <c r="H18" s="10">
        <f t="shared" si="18"/>
        <v>21.000001058631316</v>
      </c>
      <c r="I18" s="21">
        <f t="shared" si="0"/>
        <v>1.0500000529315658E-2</v>
      </c>
      <c r="J18" s="21">
        <f t="shared" si="1"/>
        <v>2.099961728567725E-6</v>
      </c>
      <c r="K18" s="10">
        <f t="shared" si="2"/>
        <v>-2.2049027064152682E-5</v>
      </c>
      <c r="L18" s="10">
        <f t="shared" si="14"/>
        <v>20.99961518570009</v>
      </c>
      <c r="M18" s="10">
        <f t="shared" si="15"/>
        <v>0.11024899819722656</v>
      </c>
      <c r="N18" s="10">
        <f t="shared" si="3"/>
        <v>20.93661634014299</v>
      </c>
      <c r="O18" s="10">
        <f t="shared" si="4"/>
        <v>6.1099182512026351</v>
      </c>
      <c r="P18" s="10">
        <f t="shared" si="5"/>
        <v>-4.000022049018245</v>
      </c>
      <c r="Q18" s="10">
        <f t="shared" si="6"/>
        <v>20.999606785853175</v>
      </c>
      <c r="R18" s="10">
        <f t="shared" si="7"/>
        <v>3.9999779509641162</v>
      </c>
      <c r="S18" s="10">
        <f t="shared" si="8"/>
        <v>20.999623585547006</v>
      </c>
      <c r="T18" s="6">
        <f t="shared" si="16"/>
        <v>0</v>
      </c>
      <c r="U18" s="10">
        <f t="shared" si="17"/>
        <v>20.999999867674319</v>
      </c>
      <c r="V18" s="10">
        <f t="shared" si="9"/>
        <v>0.20142203964704908</v>
      </c>
      <c r="W18" s="10">
        <f t="shared" si="10"/>
        <v>5.7002648904525399</v>
      </c>
      <c r="X18" s="10">
        <f t="shared" si="11"/>
        <v>-3.5817005028445794</v>
      </c>
      <c r="Y18" s="10">
        <f t="shared" si="12"/>
        <v>3.7489880880335673</v>
      </c>
      <c r="AM18" s="10"/>
      <c r="AN18" s="10"/>
      <c r="AO18" s="10"/>
    </row>
    <row r="19" spans="2:41" x14ac:dyDescent="0.2">
      <c r="B19" t="s">
        <v>168</v>
      </c>
      <c r="C19" s="48">
        <f>'Apparent entrance portal'!E28</f>
        <v>-3.8936169735936783</v>
      </c>
      <c r="F19" s="6">
        <v>10</v>
      </c>
      <c r="G19" s="10">
        <f t="shared" si="13"/>
        <v>23.333333333333332</v>
      </c>
      <c r="H19" s="10">
        <f t="shared" si="18"/>
        <v>23.333334524290329</v>
      </c>
      <c r="I19" s="21">
        <f t="shared" si="0"/>
        <v>1.1666667262145165E-2</v>
      </c>
      <c r="J19" s="21">
        <f t="shared" si="1"/>
        <v>2.3332807540125865E-6</v>
      </c>
      <c r="K19" s="10">
        <f t="shared" si="2"/>
        <v>-2.7220445395714776E-5</v>
      </c>
      <c r="L19" s="10">
        <f t="shared" si="14"/>
        <v>23.332805206823938</v>
      </c>
      <c r="M19" s="10">
        <f t="shared" si="15"/>
        <v>0.13610958115939376</v>
      </c>
      <c r="N19" s="10">
        <f t="shared" si="3"/>
        <v>23.262806791203467</v>
      </c>
      <c r="O19" s="10">
        <f t="shared" si="4"/>
        <v>6.1357012524159158</v>
      </c>
      <c r="P19" s="10">
        <f t="shared" si="5"/>
        <v>-4.0000272204345073</v>
      </c>
      <c r="Q19" s="10">
        <f t="shared" si="6"/>
        <v>23.33279587370092</v>
      </c>
      <c r="R19" s="10">
        <f t="shared" si="7"/>
        <v>3.9999727795437163</v>
      </c>
      <c r="S19" s="10">
        <f t="shared" si="8"/>
        <v>23.332814539946956</v>
      </c>
      <c r="T19" s="6">
        <f t="shared" si="16"/>
        <v>0</v>
      </c>
      <c r="U19" s="10">
        <f>SQRT((K19-K18)*(K19-K18)+(L19-L18)*(L19-L18)+(M19-M18)*(M19-M18))+U18</f>
        <v>23.333333201008799</v>
      </c>
      <c r="V19" s="10">
        <f t="shared" si="9"/>
        <v>0.23409767906144496</v>
      </c>
      <c r="W19" s="10">
        <f t="shared" si="10"/>
        <v>5.6823452526230049</v>
      </c>
      <c r="X19" s="10">
        <f t="shared" si="11"/>
        <v>-3.5395078236958928</v>
      </c>
      <c r="Y19" s="10">
        <f t="shared" si="12"/>
        <v>3.7236652793810388</v>
      </c>
      <c r="AM19" s="10"/>
      <c r="AN19" s="10"/>
      <c r="AO19" s="10"/>
    </row>
    <row r="20" spans="2:41" x14ac:dyDescent="0.2">
      <c r="B20" t="s">
        <v>169</v>
      </c>
      <c r="C20" s="48">
        <f>'Apparent entrance portal'!E37</f>
        <v>3.1648954338939259E-2</v>
      </c>
      <c r="F20" s="6">
        <v>11</v>
      </c>
      <c r="G20" s="10">
        <f t="shared" si="13"/>
        <v>25.666666666666664</v>
      </c>
      <c r="H20" s="10">
        <f t="shared" si="18"/>
        <v>25.666667989948195</v>
      </c>
      <c r="I20" s="21">
        <f t="shared" si="0"/>
        <v>1.2833333994974097E-2</v>
      </c>
      <c r="J20" s="21">
        <f t="shared" si="1"/>
        <v>2.5665966036030995E-6</v>
      </c>
      <c r="K20" s="10">
        <f t="shared" si="2"/>
        <v>-3.2936983177855872E-5</v>
      </c>
      <c r="L20" s="10">
        <f t="shared" si="14"/>
        <v>25.665963469406215</v>
      </c>
      <c r="M20" s="10">
        <f t="shared" si="15"/>
        <v>0.164692201083394</v>
      </c>
      <c r="N20" s="10">
        <f t="shared" si="3"/>
        <v>25.588965578997996</v>
      </c>
      <c r="O20" s="10">
        <f t="shared" si="4"/>
        <v>6.1641981244801443</v>
      </c>
      <c r="P20" s="10">
        <f t="shared" si="5"/>
        <v>-4.000032936970003</v>
      </c>
      <c r="Q20" s="10">
        <f t="shared" si="6"/>
        <v>25.6659532030198</v>
      </c>
      <c r="R20" s="10">
        <f t="shared" si="7"/>
        <v>3.9999670630036475</v>
      </c>
      <c r="S20" s="10">
        <f t="shared" si="8"/>
        <v>25.66597373579263</v>
      </c>
      <c r="T20" s="6">
        <f t="shared" si="16"/>
        <v>0</v>
      </c>
      <c r="U20" s="10">
        <f t="shared" si="17"/>
        <v>25.666666534343396</v>
      </c>
      <c r="V20" s="10">
        <f t="shared" si="9"/>
        <v>0.26862558658823027</v>
      </c>
      <c r="W20" s="10">
        <f t="shared" si="10"/>
        <v>5.6671945161548951</v>
      </c>
      <c r="X20" s="10">
        <f t="shared" si="11"/>
        <v>-3.4980862883007235</v>
      </c>
      <c r="Y20" s="10">
        <f t="shared" si="12"/>
        <v>3.698804504108764</v>
      </c>
      <c r="AM20" s="10"/>
      <c r="AN20" s="10"/>
      <c r="AO20" s="10"/>
    </row>
    <row r="21" spans="2:41" x14ac:dyDescent="0.2">
      <c r="B21" t="s">
        <v>170</v>
      </c>
      <c r="C21" s="48">
        <f>'Apparent entrance portal'!E38</f>
        <v>5.8981693159578237</v>
      </c>
      <c r="F21" s="6">
        <v>12</v>
      </c>
      <c r="G21" s="10">
        <f t="shared" si="13"/>
        <v>27.999999999999996</v>
      </c>
      <c r="H21" s="10">
        <f t="shared" si="18"/>
        <v>28.000001455604799</v>
      </c>
      <c r="I21" s="21">
        <f t="shared" si="0"/>
        <v>1.40000007278024E-2</v>
      </c>
      <c r="J21" s="21">
        <f t="shared" si="1"/>
        <v>2.7999089597704718E-6</v>
      </c>
      <c r="K21" s="10">
        <f t="shared" si="2"/>
        <v>-3.9197530187662366E-5</v>
      </c>
      <c r="L21" s="10">
        <f t="shared" si="14"/>
        <v>27.999086797759176</v>
      </c>
      <c r="M21" s="10">
        <f t="shared" si="15"/>
        <v>0.19599681906545818</v>
      </c>
      <c r="N21" s="10">
        <f t="shared" si="3"/>
        <v>27.915089537365898</v>
      </c>
      <c r="O21" s="10">
        <f t="shared" si="4"/>
        <v>6.1954088286082616</v>
      </c>
      <c r="P21" s="10">
        <f t="shared" si="5"/>
        <v>-4.0000391975145089</v>
      </c>
      <c r="Q21" s="10">
        <f t="shared" si="6"/>
        <v>27.999075598123337</v>
      </c>
      <c r="R21" s="10">
        <f t="shared" si="7"/>
        <v>3.9999608024541331</v>
      </c>
      <c r="S21" s="10">
        <f t="shared" si="8"/>
        <v>27.999097997395015</v>
      </c>
      <c r="T21" s="6">
        <f t="shared" si="16"/>
        <v>0</v>
      </c>
      <c r="U21" s="10">
        <f t="shared" si="17"/>
        <v>27.999999867678135</v>
      </c>
      <c r="V21" s="10">
        <f t="shared" si="9"/>
        <v>0.30495547753630542</v>
      </c>
      <c r="W21" s="10">
        <f t="shared" si="10"/>
        <v>5.6547377766745104</v>
      </c>
      <c r="X21" s="10">
        <f t="shared" si="11"/>
        <v>-3.4574150142373941</v>
      </c>
      <c r="Y21" s="10">
        <f t="shared" si="12"/>
        <v>3.6743932520470675</v>
      </c>
      <c r="AM21" s="10"/>
      <c r="AN21" s="10"/>
      <c r="AO21" s="10"/>
    </row>
    <row r="22" spans="2:41" x14ac:dyDescent="0.2">
      <c r="B22" t="s">
        <v>171</v>
      </c>
      <c r="C22" s="48">
        <f>'Apparent entrance portal'!E40</f>
        <v>45.933606234461926</v>
      </c>
      <c r="D22" s="6"/>
      <c r="F22" s="6">
        <v>13</v>
      </c>
      <c r="G22" s="10">
        <f t="shared" si="13"/>
        <v>30.333333333333329</v>
      </c>
      <c r="H22" s="10">
        <f t="shared" si="18"/>
        <v>30.333334921259997</v>
      </c>
      <c r="I22" s="21">
        <f t="shared" si="0"/>
        <v>1.5166667460629998E-2</v>
      </c>
      <c r="J22" s="21">
        <f t="shared" si="1"/>
        <v>3.0332175049506611E-6</v>
      </c>
      <c r="K22" s="10">
        <f t="shared" si="2"/>
        <v>-4.6002086425134259E-5</v>
      </c>
      <c r="L22" s="10">
        <f t="shared" si="14"/>
        <v>30.332172016242591</v>
      </c>
      <c r="M22" s="10">
        <f t="shared" si="15"/>
        <v>0.23002339249611481</v>
      </c>
      <c r="N22" s="10">
        <f t="shared" si="3"/>
        <v>30.241175500193865</v>
      </c>
      <c r="O22" s="10">
        <f t="shared" si="4"/>
        <v>6.2293333223186265</v>
      </c>
      <c r="P22" s="10">
        <f t="shared" si="5"/>
        <v>-4.0000460020680242</v>
      </c>
      <c r="Q22" s="10">
        <f t="shared" si="6"/>
        <v>30.332159883372572</v>
      </c>
      <c r="R22" s="10">
        <f t="shared" si="7"/>
        <v>3.9999539978951741</v>
      </c>
      <c r="S22" s="10">
        <f t="shared" si="8"/>
        <v>30.33218414911261</v>
      </c>
      <c r="T22" s="6">
        <f t="shared" si="16"/>
        <v>0</v>
      </c>
      <c r="U22" s="10">
        <f t="shared" si="17"/>
        <v>30.333333201012987</v>
      </c>
      <c r="V22" s="10">
        <f t="shared" si="9"/>
        <v>0.34303886975865505</v>
      </c>
      <c r="W22" s="10">
        <f t="shared" si="10"/>
        <v>5.6449028061347217</v>
      </c>
      <c r="X22" s="10">
        <f t="shared" si="11"/>
        <v>-3.4174738672718781</v>
      </c>
      <c r="Y22" s="10">
        <f t="shared" si="12"/>
        <v>3.6504194596776056</v>
      </c>
      <c r="AM22" s="10"/>
      <c r="AN22" s="10"/>
      <c r="AO22" s="10"/>
    </row>
    <row r="23" spans="2:41" x14ac:dyDescent="0.2">
      <c r="F23" s="6">
        <v>14</v>
      </c>
      <c r="G23" s="10">
        <f t="shared" si="13"/>
        <v>32.666666666666664</v>
      </c>
      <c r="H23" s="10">
        <f t="shared" si="18"/>
        <v>32.66666838691367</v>
      </c>
      <c r="I23" s="21">
        <f t="shared" si="0"/>
        <v>1.6333334193456835E-2</v>
      </c>
      <c r="J23" s="21">
        <f t="shared" si="1"/>
        <v>3.2665219215848138E-6</v>
      </c>
      <c r="K23" s="10">
        <f t="shared" si="2"/>
        <v>-5.335065189027155E-5</v>
      </c>
      <c r="L23" s="10">
        <f t="shared" si="14"/>
        <v>32.665215949268124</v>
      </c>
      <c r="M23" s="10">
        <f t="shared" si="15"/>
        <v>0.26677187506152222</v>
      </c>
      <c r="N23" s="10">
        <f t="shared" si="3"/>
        <v>32.567220301420321</v>
      </c>
      <c r="O23" s="10">
        <f t="shared" si="4"/>
        <v>6.2659715594363377</v>
      </c>
      <c r="P23" s="10">
        <f t="shared" si="5"/>
        <v>-4.0000533506305498</v>
      </c>
      <c r="Q23" s="10">
        <f t="shared" si="6"/>
        <v>32.665202883180434</v>
      </c>
      <c r="R23" s="10">
        <f t="shared" si="7"/>
        <v>3.9999466493267697</v>
      </c>
      <c r="S23" s="10">
        <f t="shared" si="8"/>
        <v>32.665229015355813</v>
      </c>
      <c r="T23" s="6">
        <f t="shared" si="16"/>
        <v>0</v>
      </c>
      <c r="U23" s="10">
        <f t="shared" si="17"/>
        <v>32.666666534347961</v>
      </c>
      <c r="V23" s="10">
        <f t="shared" si="9"/>
        <v>0.38282900374564888</v>
      </c>
      <c r="W23" s="10">
        <f t="shared" si="10"/>
        <v>5.6376199344866045</v>
      </c>
      <c r="X23" s="10">
        <f t="shared" si="11"/>
        <v>-3.3782434272182851</v>
      </c>
      <c r="Y23" s="10">
        <f t="shared" si="12"/>
        <v>3.6268714913054612</v>
      </c>
      <c r="AM23" s="10"/>
      <c r="AN23" s="10"/>
      <c r="AO23" s="10"/>
    </row>
    <row r="24" spans="2:41" x14ac:dyDescent="0.2">
      <c r="B24" t="s">
        <v>147</v>
      </c>
      <c r="C24" s="20">
        <f>C12</f>
        <v>6</v>
      </c>
      <c r="D24" s="6"/>
      <c r="F24" s="6">
        <v>15</v>
      </c>
      <c r="G24" s="10">
        <f t="shared" si="13"/>
        <v>35</v>
      </c>
      <c r="H24" s="10">
        <f t="shared" si="18"/>
        <v>35.00000185256571</v>
      </c>
      <c r="I24" s="21">
        <f t="shared" si="0"/>
        <v>1.7500000926282854E-2</v>
      </c>
      <c r="J24" s="21">
        <f t="shared" si="1"/>
        <v>3.499821892119699E-6</v>
      </c>
      <c r="K24" s="10">
        <f t="shared" si="2"/>
        <v>-6.1243226583074239E-5</v>
      </c>
      <c r="L24" s="10">
        <f t="shared" si="14"/>
        <v>34.998215421303648</v>
      </c>
      <c r="M24" s="10">
        <f t="shared" si="15"/>
        <v>0.3062422167428025</v>
      </c>
      <c r="N24" s="10">
        <f t="shared" si="3"/>
        <v>34.893220775039737</v>
      </c>
      <c r="O24" s="10">
        <f t="shared" si="4"/>
        <v>6.3053234900925741</v>
      </c>
      <c r="P24" s="10">
        <f t="shared" si="5"/>
        <v>-4.0000612432020857</v>
      </c>
      <c r="Q24" s="10">
        <f t="shared" si="6"/>
        <v>34.998201422016081</v>
      </c>
      <c r="R24" s="10">
        <f t="shared" si="7"/>
        <v>3.9999387567489197</v>
      </c>
      <c r="S24" s="10">
        <f t="shared" si="8"/>
        <v>34.998229420591215</v>
      </c>
      <c r="T24" s="6">
        <f t="shared" si="16"/>
        <v>0</v>
      </c>
      <c r="U24" s="10">
        <f t="shared" si="17"/>
        <v>34.99999986768308</v>
      </c>
      <c r="V24" s="10">
        <f t="shared" si="9"/>
        <v>0.42428076692999539</v>
      </c>
      <c r="W24" s="10">
        <f t="shared" si="10"/>
        <v>5.632821937572297</v>
      </c>
      <c r="X24" s="10">
        <f t="shared" si="11"/>
        <v>-3.3397049565631662</v>
      </c>
      <c r="Y24" s="10">
        <f t="shared" si="12"/>
        <v>3.6037381202603234</v>
      </c>
      <c r="AM24" s="10"/>
      <c r="AN24" s="10"/>
      <c r="AO24" s="10"/>
    </row>
    <row r="25" spans="2:41" x14ac:dyDescent="0.2">
      <c r="B25" t="s">
        <v>148</v>
      </c>
      <c r="C25" s="20">
        <f>C11</f>
        <v>8</v>
      </c>
      <c r="D25" s="6"/>
      <c r="F25" s="6">
        <v>16</v>
      </c>
      <c r="G25" s="10">
        <f t="shared" si="13"/>
        <v>37.333333333333336</v>
      </c>
      <c r="H25" s="10">
        <f t="shared" si="18"/>
        <v>37.333335318215966</v>
      </c>
      <c r="I25" s="21">
        <f t="shared" si="0"/>
        <v>1.8666667659107981E-2</v>
      </c>
      <c r="J25" s="21">
        <f t="shared" si="1"/>
        <v>3.733117099008133E-6</v>
      </c>
      <c r="K25" s="10">
        <f t="shared" si="2"/>
        <v>-6.968092072645593E-5</v>
      </c>
      <c r="L25" s="10">
        <f t="shared" si="14"/>
        <v>37.331167256877521</v>
      </c>
      <c r="M25" s="10">
        <f t="shared" si="15"/>
        <v>0.34843436381670756</v>
      </c>
      <c r="N25" s="10">
        <f t="shared" si="3"/>
        <v>37.219173755106887</v>
      </c>
      <c r="O25" s="10">
        <f t="shared" si="4"/>
        <v>6.3473890607252574</v>
      </c>
      <c r="P25" s="10">
        <f t="shared" si="5"/>
        <v>-4.000069680892854</v>
      </c>
      <c r="Q25" s="10">
        <f t="shared" si="6"/>
        <v>37.331152324409125</v>
      </c>
      <c r="R25" s="10">
        <f t="shared" si="7"/>
        <v>3.9999303190514013</v>
      </c>
      <c r="S25" s="10">
        <f t="shared" si="8"/>
        <v>37.331182189345917</v>
      </c>
      <c r="T25" s="6">
        <f t="shared" si="16"/>
        <v>0</v>
      </c>
      <c r="U25" s="10">
        <f t="shared" si="17"/>
        <v>37.333333201018334</v>
      </c>
      <c r="V25" s="10">
        <f t="shared" si="9"/>
        <v>0.46735062194938126</v>
      </c>
      <c r="W25" s="10">
        <f t="shared" si="10"/>
        <v>5.6304439308635992</v>
      </c>
      <c r="X25" s="10">
        <f t="shared" si="11"/>
        <v>-3.3018403716850027</v>
      </c>
      <c r="Y25" s="10">
        <f t="shared" si="12"/>
        <v>3.5810085101250833</v>
      </c>
      <c r="AM25" s="10"/>
      <c r="AN25" s="10"/>
      <c r="AO25" s="10"/>
    </row>
    <row r="26" spans="2:41" x14ac:dyDescent="0.2">
      <c r="B26" t="s">
        <v>149</v>
      </c>
      <c r="C26" s="20">
        <f>C10-C14</f>
        <v>70</v>
      </c>
      <c r="D26" s="6"/>
      <c r="F26" s="6">
        <v>17</v>
      </c>
      <c r="G26" s="10">
        <f t="shared" si="13"/>
        <v>39.666666666666671</v>
      </c>
      <c r="H26" s="10">
        <f t="shared" si="18"/>
        <v>39.666668783864296</v>
      </c>
      <c r="I26" s="21">
        <f t="shared" si="0"/>
        <v>1.9833334391932148E-2</v>
      </c>
      <c r="J26" s="21">
        <f t="shared" si="1"/>
        <v>3.9664072247094144E-6</v>
      </c>
      <c r="K26" s="10">
        <f t="shared" si="2"/>
        <v>-7.8661513874589417E-5</v>
      </c>
      <c r="L26" s="10">
        <f t="shared" si="14"/>
        <v>39.664068280582917</v>
      </c>
      <c r="M26" s="10">
        <f t="shared" si="15"/>
        <v>0.39334825885495306</v>
      </c>
      <c r="N26" s="10">
        <f t="shared" si="3"/>
        <v>39.545076075741171</v>
      </c>
      <c r="O26" s="10">
        <f t="shared" si="4"/>
        <v>6.3921682140783886</v>
      </c>
      <c r="P26" s="10">
        <f t="shared" si="5"/>
        <v>-4.0000786614824104</v>
      </c>
      <c r="Q26" s="10">
        <f t="shared" si="6"/>
        <v>39.664052414954021</v>
      </c>
      <c r="R26" s="10">
        <f t="shared" si="7"/>
        <v>3.9999213384546608</v>
      </c>
      <c r="S26" s="10">
        <f t="shared" si="8"/>
        <v>39.664084146211813</v>
      </c>
      <c r="T26" s="6">
        <f t="shared" si="16"/>
        <v>0</v>
      </c>
      <c r="U26" s="10">
        <f t="shared" si="17"/>
        <v>39.666666534353681</v>
      </c>
      <c r="V26" s="10">
        <f t="shared" si="9"/>
        <v>0.51199653862526673</v>
      </c>
      <c r="W26" s="10">
        <f t="shared" si="10"/>
        <v>5.6304232686915316</v>
      </c>
      <c r="X26" s="10">
        <f t="shared" si="11"/>
        <v>-3.2646322108303334</v>
      </c>
      <c r="Y26" s="10">
        <f t="shared" si="12"/>
        <v>3.5586722016718237</v>
      </c>
      <c r="AM26" s="10"/>
      <c r="AN26" s="10"/>
      <c r="AO26" s="10"/>
    </row>
    <row r="27" spans="2:41" x14ac:dyDescent="0.2">
      <c r="B27" t="s">
        <v>154</v>
      </c>
      <c r="C27" s="6">
        <f>IF(C8=0,9999999,C8)</f>
        <v>2000</v>
      </c>
      <c r="D27" s="6"/>
      <c r="F27" s="6">
        <v>18</v>
      </c>
      <c r="G27" s="10">
        <f t="shared" si="13"/>
        <v>42.000000000000007</v>
      </c>
      <c r="H27" s="10">
        <f t="shared" si="18"/>
        <v>42.000002249510629</v>
      </c>
      <c r="I27" s="21">
        <f t="shared" si="0"/>
        <v>2.1000001124755314E-2</v>
      </c>
      <c r="J27" s="21">
        <f t="shared" si="1"/>
        <v>4.1996919516897676E-6</v>
      </c>
      <c r="K27" s="10">
        <f t="shared" si="2"/>
        <v>-8.8187226473301905E-5</v>
      </c>
      <c r="L27" s="10">
        <f t="shared" si="14"/>
        <v>41.996915317082269</v>
      </c>
      <c r="M27" s="10">
        <f t="shared" si="15"/>
        <v>0.44098384072444041</v>
      </c>
      <c r="N27" s="10">
        <f t="shared" si="3"/>
        <v>41.87092457113102</v>
      </c>
      <c r="O27" s="10">
        <f t="shared" si="4"/>
        <v>6.4396608892022673</v>
      </c>
      <c r="P27" s="10">
        <f t="shared" si="5"/>
        <v>-4.0000881871911984</v>
      </c>
      <c r="Q27" s="10">
        <f t="shared" si="6"/>
        <v>41.99689851831446</v>
      </c>
      <c r="R27" s="10">
        <f t="shared" si="7"/>
        <v>3.9999118127382518</v>
      </c>
      <c r="S27" s="10">
        <f t="shared" si="8"/>
        <v>41.996932115850079</v>
      </c>
      <c r="T27" s="6">
        <f t="shared" si="16"/>
        <v>0</v>
      </c>
      <c r="U27" s="10">
        <f t="shared" si="17"/>
        <v>41.999999867689191</v>
      </c>
      <c r="V27" s="10">
        <f t="shared" si="9"/>
        <v>0.55817792943698064</v>
      </c>
      <c r="W27" s="10">
        <f t="shared" si="10"/>
        <v>5.6326994486404365</v>
      </c>
      <c r="X27" s="10">
        <f t="shared" si="11"/>
        <v>-3.228063614062235</v>
      </c>
      <c r="Y27" s="10">
        <f t="shared" si="12"/>
        <v>3.536719090141808</v>
      </c>
      <c r="AM27" s="10"/>
      <c r="AN27" s="10"/>
      <c r="AO27" s="10"/>
    </row>
    <row r="28" spans="2:41" x14ac:dyDescent="0.2">
      <c r="B28" t="s">
        <v>155</v>
      </c>
      <c r="C28" s="6">
        <f>IF(C9=0,9999999,ABS(C9))</f>
        <v>9999999</v>
      </c>
      <c r="D28" s="6"/>
      <c r="F28" s="6">
        <v>19</v>
      </c>
      <c r="G28" s="10">
        <f t="shared" si="13"/>
        <v>44.333333333333343</v>
      </c>
      <c r="H28" s="10">
        <f t="shared" si="18"/>
        <v>44.333335715154782</v>
      </c>
      <c r="I28" s="21">
        <f t="shared" si="0"/>
        <v>2.2166667857577392E-2</v>
      </c>
      <c r="J28" s="21">
        <f t="shared" si="1"/>
        <v>4.4329709624227517E-6</v>
      </c>
      <c r="K28" s="10">
        <f t="shared" si="2"/>
        <v>-9.8255838076766189E-5</v>
      </c>
      <c r="L28" s="10">
        <f t="shared" si="14"/>
        <v>44.329705191111366</v>
      </c>
      <c r="M28" s="10">
        <f t="shared" si="15"/>
        <v>0.49134104458814498</v>
      </c>
      <c r="N28" s="10">
        <f t="shared" si="3"/>
        <v>44.196716075538035</v>
      </c>
      <c r="O28" s="10">
        <f t="shared" si="4"/>
        <v>6.4898670214543808</v>
      </c>
      <c r="P28" s="10">
        <f t="shared" si="5"/>
        <v>-4.0000982557987745</v>
      </c>
      <c r="Q28" s="10">
        <f t="shared" si="6"/>
        <v>44.329687459227515</v>
      </c>
      <c r="R28" s="10">
        <f t="shared" si="7"/>
        <v>3.9999017441226208</v>
      </c>
      <c r="S28" s="10">
        <f t="shared" si="8"/>
        <v>44.329722922995217</v>
      </c>
      <c r="T28" s="6">
        <f t="shared" si="16"/>
        <v>0</v>
      </c>
      <c r="U28" s="10">
        <f t="shared" si="17"/>
        <v>44.333333201024793</v>
      </c>
      <c r="V28" s="10">
        <f t="shared" si="9"/>
        <v>0.60585558828320929</v>
      </c>
      <c r="W28" s="10">
        <f t="shared" si="10"/>
        <v>5.6372140208003385</v>
      </c>
      <c r="X28" s="10">
        <f t="shared" si="11"/>
        <v>-3.1921182902673557</v>
      </c>
      <c r="Y28" s="10">
        <f t="shared" si="12"/>
        <v>3.5151394176456399</v>
      </c>
      <c r="AM28" s="10"/>
      <c r="AN28" s="10"/>
      <c r="AO28" s="10"/>
    </row>
    <row r="29" spans="2:41" x14ac:dyDescent="0.2">
      <c r="B29" t="s">
        <v>74</v>
      </c>
      <c r="C29" s="10">
        <f>C26/F39</f>
        <v>2.3333333333333335</v>
      </c>
      <c r="D29" s="6"/>
      <c r="F29" s="6">
        <v>20</v>
      </c>
      <c r="G29" s="10">
        <f t="shared" si="13"/>
        <v>46.666666666666679</v>
      </c>
      <c r="H29" s="10">
        <f t="shared" si="18"/>
        <v>46.666669180796667</v>
      </c>
      <c r="I29" s="21">
        <f t="shared" si="0"/>
        <v>2.3333334590398335E-2</v>
      </c>
      <c r="J29" s="21">
        <f t="shared" si="1"/>
        <v>4.6662439393897196E-6</v>
      </c>
      <c r="K29" s="10">
        <f t="shared" si="2"/>
        <v>-1.0886956913080947E-4</v>
      </c>
      <c r="L29" s="10">
        <f t="shared" si="14"/>
        <v>46.66243472748392</v>
      </c>
      <c r="M29" s="10">
        <f t="shared" si="15"/>
        <v>0.54441980190444994</v>
      </c>
      <c r="N29" s="10">
        <f t="shared" si="3"/>
        <v>46.522447423301465</v>
      </c>
      <c r="O29" s="10">
        <f t="shared" si="4"/>
        <v>6.542786542498737</v>
      </c>
      <c r="P29" s="10">
        <f t="shared" si="5"/>
        <v>-4.0001088695255831</v>
      </c>
      <c r="Q29" s="10">
        <f t="shared" si="6"/>
        <v>46.662416062508164</v>
      </c>
      <c r="R29" s="10">
        <f t="shared" si="7"/>
        <v>3.9998911303873212</v>
      </c>
      <c r="S29" s="10">
        <f t="shared" si="8"/>
        <v>46.662453392459675</v>
      </c>
      <c r="T29" s="6">
        <f t="shared" si="16"/>
        <v>0</v>
      </c>
      <c r="U29" s="10">
        <f t="shared" si="17"/>
        <v>46.666666534360559</v>
      </c>
      <c r="V29" s="10">
        <f t="shared" si="9"/>
        <v>0.65499163233531765</v>
      </c>
      <c r="W29" s="10">
        <f t="shared" si="10"/>
        <v>5.6439105015901188</v>
      </c>
      <c r="X29" s="10">
        <f t="shared" si="11"/>
        <v>-3.1567805005975278</v>
      </c>
      <c r="Y29" s="10">
        <f t="shared" si="12"/>
        <v>3.4939237511791226</v>
      </c>
      <c r="AM29" s="10"/>
      <c r="AN29" s="10"/>
      <c r="AO29" s="10"/>
    </row>
    <row r="30" spans="2:41" x14ac:dyDescent="0.2">
      <c r="B30" s="19" t="s">
        <v>89</v>
      </c>
      <c r="C30" s="20">
        <f>C15</f>
        <v>1.2000022204460488</v>
      </c>
      <c r="D30" s="6"/>
      <c r="F30" s="6">
        <v>21</v>
      </c>
      <c r="G30" s="10">
        <f t="shared" si="13"/>
        <v>49.000000000000014</v>
      </c>
      <c r="H30" s="10">
        <f t="shared" si="18"/>
        <v>49.000002646436116</v>
      </c>
      <c r="I30" s="21">
        <f t="shared" si="0"/>
        <v>2.4500001323218057E-2</v>
      </c>
      <c r="J30" s="21">
        <f t="shared" si="1"/>
        <v>4.8995105650802237E-6</v>
      </c>
      <c r="K30" s="10">
        <f t="shared" si="2"/>
        <v>-1.2002619918960455E-4</v>
      </c>
      <c r="L30" s="10">
        <f t="shared" si="14"/>
        <v>48.995100751095649</v>
      </c>
      <c r="M30" s="10">
        <f t="shared" si="15"/>
        <v>0.60022004042670218</v>
      </c>
      <c r="N30" s="10">
        <f t="shared" si="3"/>
        <v>48.848115448842364</v>
      </c>
      <c r="O30" s="10">
        <f t="shared" si="4"/>
        <v>6.5984193803054225</v>
      </c>
      <c r="P30" s="10">
        <f t="shared" si="5"/>
        <v>-4.0001200261511789</v>
      </c>
      <c r="Q30" s="10">
        <f t="shared" si="6"/>
        <v>48.995081153053391</v>
      </c>
      <c r="R30" s="10">
        <f t="shared" si="7"/>
        <v>3.9998799737528001</v>
      </c>
      <c r="S30" s="10">
        <f t="shared" si="8"/>
        <v>48.995120349137906</v>
      </c>
      <c r="T30" s="6">
        <f t="shared" si="16"/>
        <v>0</v>
      </c>
      <c r="U30" s="10">
        <f t="shared" si="17"/>
        <v>48.999999867696403</v>
      </c>
      <c r="V30" s="10">
        <f t="shared" si="9"/>
        <v>0.70554944680329046</v>
      </c>
      <c r="W30" s="10">
        <f t="shared" si="10"/>
        <v>5.652734291886552</v>
      </c>
      <c r="X30" s="10">
        <f t="shared" si="11"/>
        <v>-3.12203502809612</v>
      </c>
      <c r="Y30" s="10">
        <f t="shared" si="12"/>
        <v>3.4730629763849223</v>
      </c>
      <c r="AM30" s="10"/>
      <c r="AN30" s="10"/>
      <c r="AO30" s="10"/>
    </row>
    <row r="31" spans="2:41" x14ac:dyDescent="0.2">
      <c r="B31" s="19" t="s">
        <v>152</v>
      </c>
      <c r="C31" s="20">
        <f>C16</f>
        <v>1.0000022204460495</v>
      </c>
      <c r="D31" s="6"/>
      <c r="F31" s="6">
        <v>22</v>
      </c>
      <c r="G31" s="10">
        <f t="shared" si="13"/>
        <v>51.33333333333335</v>
      </c>
      <c r="H31" s="10">
        <f t="shared" si="18"/>
        <v>51.333336112073056</v>
      </c>
      <c r="I31" s="21">
        <f t="shared" si="0"/>
        <v>2.5666668056036526E-2</v>
      </c>
      <c r="J31" s="21">
        <f t="shared" si="1"/>
        <v>5.1327705219924748E-6</v>
      </c>
      <c r="K31" s="10">
        <f t="shared" si="2"/>
        <v>-1.3172683847606503E-4</v>
      </c>
      <c r="L31" s="10">
        <f t="shared" si="14"/>
        <v>51.32770008692885</v>
      </c>
      <c r="M31" s="10">
        <f t="shared" si="15"/>
        <v>0.65874168420498869</v>
      </c>
      <c r="N31" s="10">
        <f t="shared" si="3"/>
        <v>51.173716986668062</v>
      </c>
      <c r="O31" s="10">
        <f t="shared" si="4"/>
        <v>6.6567654591523739</v>
      </c>
      <c r="P31" s="10">
        <f t="shared" si="5"/>
        <v>-4.000131726785785</v>
      </c>
      <c r="Q31" s="10">
        <f t="shared" si="6"/>
        <v>51.327679555846764</v>
      </c>
      <c r="R31" s="10">
        <f t="shared" si="7"/>
        <v>3.9998682731088331</v>
      </c>
      <c r="S31" s="10">
        <f t="shared" si="8"/>
        <v>51.327720618010936</v>
      </c>
      <c r="T31" s="6">
        <f t="shared" si="16"/>
        <v>0</v>
      </c>
      <c r="U31" s="10">
        <f t="shared" si="17"/>
        <v>51.33333320103241</v>
      </c>
      <c r="V31" s="10">
        <f t="shared" si="9"/>
        <v>0.75749363244714141</v>
      </c>
      <c r="W31" s="10">
        <f t="shared" si="10"/>
        <v>5.6636325992118959</v>
      </c>
      <c r="X31" s="10">
        <f t="shared" si="11"/>
        <v>-3.0878671624486649</v>
      </c>
      <c r="Y31" s="10">
        <f t="shared" si="12"/>
        <v>3.4525482780085448</v>
      </c>
      <c r="AM31" s="10"/>
      <c r="AN31" s="10"/>
      <c r="AO31" s="10"/>
    </row>
    <row r="32" spans="2:41" x14ac:dyDescent="0.2">
      <c r="B32" s="19" t="s">
        <v>153</v>
      </c>
      <c r="C32" s="20">
        <f>-C17</f>
        <v>229.99999994939992</v>
      </c>
      <c r="D32" s="6"/>
      <c r="F32" s="6">
        <v>23</v>
      </c>
      <c r="G32" s="10">
        <f t="shared" si="13"/>
        <v>53.666666666666686</v>
      </c>
      <c r="H32" s="10">
        <f>H31+G32-U31</f>
        <v>53.666669577707331</v>
      </c>
      <c r="I32" s="21">
        <f t="shared" si="0"/>
        <v>2.6833334788853667E-2</v>
      </c>
      <c r="J32" s="21">
        <f t="shared" si="1"/>
        <v>5.3660234926337518E-6</v>
      </c>
      <c r="K32" s="10">
        <f t="shared" si="2"/>
        <v>-1.4397148699019091E-4</v>
      </c>
      <c r="L32" s="10">
        <f t="shared" si="14"/>
        <v>53.660229560056507</v>
      </c>
      <c r="M32" s="10">
        <f t="shared" si="15"/>
        <v>0.71998465358480424</v>
      </c>
      <c r="N32" s="10">
        <f t="shared" si="3"/>
        <v>53.499248871376338</v>
      </c>
      <c r="O32" s="10">
        <f t="shared" si="4"/>
        <v>6.7178246996240496</v>
      </c>
      <c r="P32" s="10">
        <f t="shared" si="5"/>
        <v>-4.0001439714294014</v>
      </c>
      <c r="Q32" s="10">
        <f t="shared" si="6"/>
        <v>53.660208095962538</v>
      </c>
      <c r="R32" s="10">
        <f t="shared" si="7"/>
        <v>3.9998560284554214</v>
      </c>
      <c r="S32" s="10">
        <f t="shared" si="8"/>
        <v>53.660251024150476</v>
      </c>
      <c r="T32" s="6">
        <f t="shared" si="16"/>
        <v>0</v>
      </c>
      <c r="U32" s="10">
        <f t="shared" si="17"/>
        <v>53.666666534368559</v>
      </c>
      <c r="V32" s="10">
        <f t="shared" si="9"/>
        <v>0.81078995567166401</v>
      </c>
      <c r="W32" s="10">
        <f t="shared" si="10"/>
        <v>5.6765543637430582</v>
      </c>
      <c r="X32" s="10">
        <f t="shared" si="11"/>
        <v>-3.0542626755820685</v>
      </c>
      <c r="Y32" s="10">
        <f t="shared" si="12"/>
        <v>3.4323711312198681</v>
      </c>
      <c r="AM32" s="10"/>
      <c r="AN32" s="10"/>
      <c r="AO32" s="10"/>
    </row>
    <row r="33" spans="2:41" x14ac:dyDescent="0.2">
      <c r="F33" s="6">
        <v>24</v>
      </c>
      <c r="G33" s="10">
        <f t="shared" si="13"/>
        <v>56.000000000000021</v>
      </c>
      <c r="H33" s="10">
        <f t="shared" si="18"/>
        <v>56.000003043338793</v>
      </c>
      <c r="I33" s="21">
        <f t="shared" si="0"/>
        <v>2.8000001521669395E-2</v>
      </c>
      <c r="J33" s="21">
        <f t="shared" si="1"/>
        <v>5.5992691595208392E-6</v>
      </c>
      <c r="K33" s="10">
        <f t="shared" si="2"/>
        <v>-1.5675903450906858E-4</v>
      </c>
      <c r="L33" s="10">
        <f t="shared" si="14"/>
        <v>55.992685995646653</v>
      </c>
      <c r="M33" s="10">
        <f t="shared" si="15"/>
        <v>0.78394886520749552</v>
      </c>
      <c r="N33" s="10">
        <f t="shared" si="3"/>
        <v>55.82470793765971</v>
      </c>
      <c r="O33" s="10">
        <f t="shared" si="4"/>
        <v>6.7815970186118726</v>
      </c>
      <c r="P33" s="10">
        <f t="shared" si="5"/>
        <v>-4.000156758971805</v>
      </c>
      <c r="Q33" s="10">
        <f t="shared" si="6"/>
        <v>55.992663598570012</v>
      </c>
      <c r="R33" s="10">
        <f t="shared" si="7"/>
        <v>3.9998432409027873</v>
      </c>
      <c r="S33" s="10">
        <f t="shared" si="8"/>
        <v>55.992708392723294</v>
      </c>
      <c r="T33" s="6">
        <f t="shared" si="16"/>
        <v>0</v>
      </c>
      <c r="U33" s="10">
        <f t="shared" si="17"/>
        <v>55.99999986770478</v>
      </c>
      <c r="V33" s="10">
        <f t="shared" si="9"/>
        <v>0.86540530106118674</v>
      </c>
      <c r="W33" s="10">
        <f t="shared" si="10"/>
        <v>5.6914501879288881</v>
      </c>
      <c r="X33" s="10">
        <f t="shared" si="11"/>
        <v>-3.0212078020278343</v>
      </c>
      <c r="Y33" s="10">
        <f t="shared" si="12"/>
        <v>3.4125232897870137</v>
      </c>
      <c r="AM33" s="10"/>
      <c r="AN33" s="10"/>
      <c r="AO33" s="10"/>
    </row>
    <row r="34" spans="2:41" x14ac:dyDescent="0.2">
      <c r="B34" t="s">
        <v>163</v>
      </c>
      <c r="C34" s="10">
        <f>Y42</f>
        <v>3.2999220764286377</v>
      </c>
      <c r="D34" s="10">
        <f>IF(C34&lt;C18,C34,C18)</f>
        <v>3.2999220764286377</v>
      </c>
      <c r="F34" s="6">
        <v>25</v>
      </c>
      <c r="G34" s="10">
        <f t="shared" si="13"/>
        <v>58.333333333333357</v>
      </c>
      <c r="H34" s="10">
        <f t="shared" si="18"/>
        <v>58.333336508967371</v>
      </c>
      <c r="I34" s="21">
        <f t="shared" si="0"/>
        <v>2.9166668254483684E-2</v>
      </c>
      <c r="J34" s="21">
        <f t="shared" si="1"/>
        <v>5.8325072051804776E-6</v>
      </c>
      <c r="K34" s="10">
        <f t="shared" si="2"/>
        <v>-1.7009059125561166E-4</v>
      </c>
      <c r="L34" s="10">
        <f t="shared" si="14"/>
        <v>58.325066218966889</v>
      </c>
      <c r="M34" s="10">
        <f t="shared" si="15"/>
        <v>0.85063423201092725</v>
      </c>
      <c r="N34" s="10">
        <f t="shared" si="3"/>
        <v>58.150091020309986</v>
      </c>
      <c r="O34" s="10">
        <f t="shared" si="4"/>
        <v>6.8480823293148942</v>
      </c>
      <c r="P34" s="10">
        <f t="shared" si="5"/>
        <v>-4.0001700905232198</v>
      </c>
      <c r="Q34" s="10">
        <f t="shared" si="6"/>
        <v>58.325042888938071</v>
      </c>
      <c r="R34" s="10">
        <f t="shared" si="7"/>
        <v>3.9998299093407081</v>
      </c>
      <c r="S34" s="10">
        <f t="shared" si="8"/>
        <v>58.325089548995706</v>
      </c>
      <c r="T34" s="6">
        <f t="shared" si="16"/>
        <v>0</v>
      </c>
      <c r="U34" s="10">
        <f t="shared" si="17"/>
        <v>58.333333201041185</v>
      </c>
      <c r="V34" s="10">
        <f t="shared" si="9"/>
        <v>0.92130762621511586</v>
      </c>
      <c r="W34" s="10">
        <f t="shared" si="10"/>
        <v>5.7082722695108501</v>
      </c>
      <c r="X34" s="10">
        <f t="shared" si="11"/>
        <v>-2.9886892228939681</v>
      </c>
      <c r="Y34" s="10">
        <f t="shared" si="12"/>
        <v>3.3929967721665277</v>
      </c>
      <c r="AM34" s="10"/>
      <c r="AN34" s="10"/>
      <c r="AO34" s="10"/>
    </row>
    <row r="35" spans="2:41" x14ac:dyDescent="0.2">
      <c r="B35" t="s">
        <v>164</v>
      </c>
      <c r="C35" s="10">
        <f>X42</f>
        <v>-2.8337035023723081</v>
      </c>
      <c r="D35" s="10">
        <f>IF(C35&gt;C19,C35,C19)</f>
        <v>-2.8337035023723081</v>
      </c>
      <c r="F35" s="6">
        <v>26</v>
      </c>
      <c r="G35" s="10">
        <f t="shared" si="13"/>
        <v>60.666666666666693</v>
      </c>
      <c r="H35" s="10">
        <f t="shared" si="18"/>
        <v>60.666669974592878</v>
      </c>
      <c r="I35" s="21">
        <f t="shared" si="0"/>
        <v>3.0333334987296439E-2</v>
      </c>
      <c r="J35" s="21">
        <f t="shared" si="1"/>
        <v>6.0657373121497639E-6</v>
      </c>
      <c r="K35" s="10">
        <f t="shared" si="2"/>
        <v>-1.8396615722982013E-4</v>
      </c>
      <c r="L35" s="10">
        <f t="shared" si="14"/>
        <v>60.657367055388363</v>
      </c>
      <c r="M35" s="10">
        <f t="shared" si="15"/>
        <v>0.92004066322859401</v>
      </c>
      <c r="N35" s="10">
        <f t="shared" si="3"/>
        <v>60.475394954222196</v>
      </c>
      <c r="O35" s="10">
        <f t="shared" si="4"/>
        <v>6.9172805412389078</v>
      </c>
      <c r="P35" s="10">
        <f t="shared" si="5"/>
        <v>-4.0001839660836431</v>
      </c>
      <c r="Q35" s="10">
        <f t="shared" si="6"/>
        <v>60.657342792439117</v>
      </c>
      <c r="R35" s="10">
        <f t="shared" si="7"/>
        <v>3.9998160337691839</v>
      </c>
      <c r="S35" s="10">
        <f t="shared" si="8"/>
        <v>60.657391318337609</v>
      </c>
      <c r="T35" s="6">
        <f t="shared" si="16"/>
        <v>0</v>
      </c>
      <c r="U35" s="10">
        <f t="shared" si="17"/>
        <v>60.666666534377683</v>
      </c>
      <c r="V35" s="10">
        <f t="shared" si="9"/>
        <v>0.9784659187537964</v>
      </c>
      <c r="W35" s="10">
        <f t="shared" si="10"/>
        <v>5.7269743377552018</v>
      </c>
      <c r="X35" s="10">
        <f t="shared" si="11"/>
        <v>-2.9566940453361776</v>
      </c>
      <c r="Y35" s="10">
        <f t="shared" si="12"/>
        <v>3.3737838535337135</v>
      </c>
      <c r="AM35" s="10"/>
      <c r="AN35" s="10"/>
      <c r="AO35" s="10"/>
    </row>
    <row r="36" spans="2:41" x14ac:dyDescent="0.2">
      <c r="B36" t="s">
        <v>165</v>
      </c>
      <c r="C36" s="10">
        <f>V42</f>
        <v>1.2190723265399599</v>
      </c>
      <c r="D36" s="10">
        <f>IF(C36&gt;C20,C36,C20)</f>
        <v>1.2190723265399599</v>
      </c>
      <c r="F36" s="6">
        <v>27</v>
      </c>
      <c r="G36" s="10">
        <f t="shared" si="13"/>
        <v>63.000000000000028</v>
      </c>
      <c r="H36" s="10">
        <f t="shared" si="18"/>
        <v>63.000003440215224</v>
      </c>
      <c r="I36" s="21">
        <f t="shared" si="0"/>
        <v>3.1500001720107612E-2</v>
      </c>
      <c r="J36" s="21">
        <f t="shared" si="1"/>
        <v>6.2989591629766121E-6</v>
      </c>
      <c r="K36" s="10">
        <f t="shared" si="2"/>
        <v>-1.9838462220878039E-4</v>
      </c>
      <c r="L36" s="10">
        <f t="shared" si="14"/>
        <v>62.989585330390412</v>
      </c>
      <c r="M36" s="10">
        <f t="shared" si="15"/>
        <v>0.99216806439073046</v>
      </c>
      <c r="N36" s="10">
        <f t="shared" si="3"/>
        <v>62.800616574399243</v>
      </c>
      <c r="O36" s="10">
        <f t="shared" si="4"/>
        <v>6.9891915601975585</v>
      </c>
      <c r="P36" s="10">
        <f t="shared" si="5"/>
        <v>-4.0001983845428546</v>
      </c>
      <c r="Q36" s="10">
        <f t="shared" si="6"/>
        <v>62.989560134553763</v>
      </c>
      <c r="R36" s="10">
        <f t="shared" si="7"/>
        <v>3.9998016152984373</v>
      </c>
      <c r="S36" s="10">
        <f t="shared" si="8"/>
        <v>62.989610526227061</v>
      </c>
      <c r="T36" s="6">
        <f t="shared" si="16"/>
        <v>0</v>
      </c>
      <c r="U36" s="10">
        <f t="shared" si="17"/>
        <v>62.999999867714315</v>
      </c>
      <c r="V36" s="10">
        <f t="shared" si="9"/>
        <v>1.0368501553767104</v>
      </c>
      <c r="W36" s="10">
        <f t="shared" si="10"/>
        <v>5.7475115927211826</v>
      </c>
      <c r="X36" s="10">
        <f t="shared" si="11"/>
        <v>-2.9252097856230455</v>
      </c>
      <c r="Y36" s="10">
        <f t="shared" si="12"/>
        <v>3.3548770555783163</v>
      </c>
      <c r="AM36" s="10"/>
      <c r="AN36" s="10"/>
      <c r="AO36" s="10"/>
    </row>
    <row r="37" spans="2:41" x14ac:dyDescent="0.2">
      <c r="B37" t="s">
        <v>166</v>
      </c>
      <c r="C37" s="10">
        <f>W42</f>
        <v>5.6304232686915316</v>
      </c>
      <c r="D37" s="10">
        <f>IF(C37&lt;C21,C37,C21)</f>
        <v>5.6304232686915316</v>
      </c>
      <c r="F37" s="6">
        <v>28</v>
      </c>
      <c r="G37" s="10">
        <f t="shared" si="13"/>
        <v>65.333333333333357</v>
      </c>
      <c r="H37" s="10">
        <f t="shared" si="18"/>
        <v>65.333336905834273</v>
      </c>
      <c r="I37" s="21">
        <f t="shared" si="0"/>
        <v>3.2666668452917137E-2</v>
      </c>
      <c r="J37" s="21">
        <f t="shared" si="1"/>
        <v>6.5321724402201658E-6</v>
      </c>
      <c r="K37" s="10">
        <f t="shared" si="2"/>
        <v>-2.1334598619249245E-4</v>
      </c>
      <c r="L37" s="10">
        <f t="shared" si="14"/>
        <v>65.321717869564679</v>
      </c>
      <c r="M37" s="10">
        <f t="shared" si="15"/>
        <v>1.0670163373238672</v>
      </c>
      <c r="N37" s="10">
        <f t="shared" si="3"/>
        <v>65.125752715955983</v>
      </c>
      <c r="O37" s="10">
        <f t="shared" si="4"/>
        <v>7.0638152883118952</v>
      </c>
      <c r="P37" s="10">
        <f t="shared" si="5"/>
        <v>-4.0002133459008542</v>
      </c>
      <c r="Q37" s="10">
        <f t="shared" si="6"/>
        <v>65.321691740874925</v>
      </c>
      <c r="R37" s="10">
        <f t="shared" si="7"/>
        <v>3.999786653928469</v>
      </c>
      <c r="S37" s="10">
        <f t="shared" si="8"/>
        <v>65.321743998254433</v>
      </c>
      <c r="T37" s="6">
        <f t="shared" si="16"/>
        <v>0</v>
      </c>
      <c r="U37" s="10">
        <f t="shared" si="17"/>
        <v>65.333333201051047</v>
      </c>
      <c r="V37" s="10">
        <f t="shared" si="9"/>
        <v>1.0964312628569335</v>
      </c>
      <c r="W37" s="10">
        <f t="shared" si="10"/>
        <v>5.7698406473952035</v>
      </c>
      <c r="X37" s="10">
        <f t="shared" si="11"/>
        <v>-2.8942243547318971</v>
      </c>
      <c r="Y37" s="10">
        <f t="shared" si="12"/>
        <v>3.3362691350538025</v>
      </c>
      <c r="AM37" s="10"/>
      <c r="AN37" s="10"/>
      <c r="AO37" s="10"/>
    </row>
    <row r="38" spans="2:41" x14ac:dyDescent="0.2">
      <c r="B38" t="s">
        <v>171</v>
      </c>
      <c r="D38" s="10">
        <f>(D34-D35)*(D37-D36)</f>
        <v>27.057574975848528</v>
      </c>
      <c r="F38" s="6">
        <v>29</v>
      </c>
      <c r="G38" s="10">
        <f t="shared" si="13"/>
        <v>67.666666666666686</v>
      </c>
      <c r="H38" s="10">
        <f t="shared" si="18"/>
        <v>67.666670371449911</v>
      </c>
      <c r="I38" s="21">
        <f t="shared" si="0"/>
        <v>3.3833335185724955E-2</v>
      </c>
      <c r="J38" s="21">
        <f t="shared" si="1"/>
        <v>6.7653768264512501E-6</v>
      </c>
      <c r="K38" s="10">
        <f t="shared" si="2"/>
        <v>-2.2885135940386991E-4</v>
      </c>
      <c r="L38" s="10">
        <f t="shared" si="14"/>
        <v>67.653761498619573</v>
      </c>
      <c r="M38" s="10">
        <f t="shared" si="15"/>
        <v>1.144585380151053</v>
      </c>
      <c r="N38" s="10">
        <f t="shared" si="3"/>
        <v>67.450800214123717</v>
      </c>
      <c r="O38" s="10">
        <f t="shared" si="4"/>
        <v>7.1411516240106003</v>
      </c>
      <c r="P38" s="10">
        <f t="shared" si="5"/>
        <v>-4.0002288512678632</v>
      </c>
      <c r="Q38" s="10">
        <f t="shared" si="6"/>
        <v>67.653734437112263</v>
      </c>
      <c r="R38" s="10">
        <f t="shared" si="7"/>
        <v>3.9997711485490557</v>
      </c>
      <c r="S38" s="10">
        <f t="shared" si="8"/>
        <v>67.653788560126884</v>
      </c>
      <c r="T38" s="6">
        <f t="shared" si="16"/>
        <v>0</v>
      </c>
      <c r="U38" s="10">
        <f t="shared" si="17"/>
        <v>67.666666534387943</v>
      </c>
      <c r="V38" s="10">
        <f t="shared" si="9"/>
        <v>1.1571810808675027</v>
      </c>
      <c r="W38" s="10">
        <f t="shared" si="10"/>
        <v>5.7939194725361762</v>
      </c>
      <c r="X38" s="10">
        <f t="shared" si="11"/>
        <v>-2.8637260429051161</v>
      </c>
      <c r="Y38" s="10">
        <f t="shared" si="12"/>
        <v>3.3179530745801311</v>
      </c>
      <c r="AM38" s="10"/>
      <c r="AN38" s="10"/>
      <c r="AO38" s="10"/>
    </row>
    <row r="39" spans="2:41" x14ac:dyDescent="0.2">
      <c r="C39" s="10">
        <f>IF(C37&lt;C21,C22*C37/C21,C22)</f>
        <v>43.848460683843513</v>
      </c>
      <c r="F39" s="6">
        <v>30</v>
      </c>
      <c r="G39" s="10">
        <f t="shared" si="13"/>
        <v>70.000000000000014</v>
      </c>
      <c r="H39" s="10">
        <f>H38+G39-U38</f>
        <v>70.000003837061982</v>
      </c>
      <c r="I39" s="21">
        <f t="shared" si="0"/>
        <v>3.500000191853099E-2</v>
      </c>
      <c r="J39" s="21">
        <f t="shared" si="1"/>
        <v>6.9985720042527723E-6</v>
      </c>
      <c r="K39" s="10">
        <f t="shared" si="2"/>
        <v>-2.4489963161999917E-4</v>
      </c>
      <c r="L39" s="10">
        <f t="shared" si="14"/>
        <v>69.985713043384408</v>
      </c>
      <c r="M39" s="10">
        <f t="shared" si="15"/>
        <v>1.2248750872925207</v>
      </c>
      <c r="N39" s="10">
        <f t="shared" si="3"/>
        <v>69.775755904254254</v>
      </c>
      <c r="O39" s="10">
        <f t="shared" si="4"/>
        <v>7.2212004620306427</v>
      </c>
      <c r="P39" s="10">
        <f t="shared" si="5"/>
        <v>-4.0002448995336604</v>
      </c>
      <c r="Q39" s="10">
        <f t="shared" si="6"/>
        <v>69.985685049096389</v>
      </c>
      <c r="R39" s="10">
        <f t="shared" si="7"/>
        <v>3.9997551002704199</v>
      </c>
      <c r="S39" s="10">
        <f t="shared" si="8"/>
        <v>69.985741037672426</v>
      </c>
      <c r="T39" s="6">
        <f t="shared" si="16"/>
        <v>0</v>
      </c>
      <c r="U39" s="10">
        <f>SQRT((K39-K38)*(K39-K38)+(L39-L38)*(L39-L38)+(M39-M38)*(M39-M38))+U38</f>
        <v>69.999999867724938</v>
      </c>
      <c r="V39" s="10">
        <f t="shared" si="9"/>
        <v>1.2190723265399599</v>
      </c>
      <c r="W39" s="10">
        <f t="shared" si="10"/>
        <v>5.8197073440847262</v>
      </c>
      <c r="X39" s="10">
        <f t="shared" si="11"/>
        <v>-2.8337035023723081</v>
      </c>
      <c r="Y39" s="10">
        <f t="shared" si="12"/>
        <v>3.2999220764286377</v>
      </c>
      <c r="AM39" s="10"/>
      <c r="AN39" s="10"/>
      <c r="AO39" s="10"/>
    </row>
    <row r="40" spans="2:41" x14ac:dyDescent="0.2">
      <c r="B40" t="s">
        <v>172</v>
      </c>
      <c r="C40" s="20">
        <f>IF(D38&lt;0,0,100*D38/C39)</f>
        <v>61.707012182113417</v>
      </c>
      <c r="G40" s="6"/>
      <c r="H40" s="10"/>
      <c r="I40" s="21"/>
      <c r="J40" s="21"/>
      <c r="K40" s="10"/>
      <c r="L40" s="10"/>
      <c r="M40" s="10"/>
      <c r="N40" s="10"/>
      <c r="O40" s="10"/>
      <c r="P40" s="10"/>
      <c r="Q40" s="10"/>
      <c r="R40" s="10"/>
      <c r="S40" s="10"/>
      <c r="T40" s="6"/>
      <c r="U40" s="10"/>
      <c r="V40" s="6"/>
      <c r="W40" s="6"/>
      <c r="X40" s="6"/>
      <c r="Y40" s="6"/>
    </row>
    <row r="41" spans="2:41" x14ac:dyDescent="0.2">
      <c r="G41" s="6"/>
      <c r="H41" s="10"/>
      <c r="I41" s="21"/>
      <c r="J41" s="17"/>
      <c r="K41" s="2"/>
      <c r="L41" s="2"/>
      <c r="M41" s="10"/>
      <c r="N41" s="10"/>
      <c r="O41" s="10"/>
      <c r="P41" s="2"/>
      <c r="Q41" s="2"/>
      <c r="R41" s="10"/>
      <c r="S41" s="10"/>
      <c r="T41" s="6"/>
      <c r="U41" s="2" t="s">
        <v>104</v>
      </c>
      <c r="V41" s="10">
        <f>MAX(V9:V39)</f>
        <v>1.2190723265399599</v>
      </c>
      <c r="W41" s="10">
        <f>MIN(W9:W39)</f>
        <v>5.6304232686915316</v>
      </c>
      <c r="X41" s="10">
        <f>MAX(X9:X39)</f>
        <v>-2.8337035023723081</v>
      </c>
      <c r="Y41" s="10">
        <f>MIN(Y9:Y39)</f>
        <v>3.2999220764286377</v>
      </c>
    </row>
    <row r="42" spans="2:41" x14ac:dyDescent="0.2">
      <c r="G42" s="6"/>
      <c r="H42" s="10"/>
      <c r="I42" s="21"/>
      <c r="J42" s="17"/>
      <c r="K42" s="2"/>
      <c r="L42" s="2"/>
      <c r="M42" s="10"/>
      <c r="N42" s="10"/>
      <c r="O42" s="10"/>
      <c r="P42" s="2"/>
      <c r="Q42" s="2"/>
      <c r="R42" s="10"/>
      <c r="S42" s="10"/>
      <c r="T42" s="6"/>
      <c r="U42" s="2" t="s">
        <v>105</v>
      </c>
      <c r="V42" s="10">
        <f>IF(V41&gt;W41,W41,V41)</f>
        <v>1.2190723265399599</v>
      </c>
      <c r="W42" s="10">
        <f>IF(W41&lt;C20,C20,W41)</f>
        <v>5.6304232686915316</v>
      </c>
      <c r="X42" s="10">
        <f>IF(X41&gt;Y41,Y41,X41)</f>
        <v>-2.8337035023723081</v>
      </c>
      <c r="Y42" s="10">
        <f>IF(Y41&lt;C19,C19,Y41)</f>
        <v>3.2999220764286377</v>
      </c>
    </row>
    <row r="43" spans="2:41" x14ac:dyDescent="0.2">
      <c r="B43" t="s">
        <v>192</v>
      </c>
      <c r="F43" t="s">
        <v>191</v>
      </c>
      <c r="G43" t="s">
        <v>94</v>
      </c>
      <c r="S43" s="10"/>
      <c r="T43" s="10"/>
      <c r="U43" s="2"/>
      <c r="V43" s="10"/>
    </row>
    <row r="44" spans="2:41" x14ac:dyDescent="0.2">
      <c r="B44" s="9" t="s">
        <v>20</v>
      </c>
      <c r="C44" s="6" t="s">
        <v>0</v>
      </c>
      <c r="D44" s="6" t="s">
        <v>45</v>
      </c>
      <c r="E44" s="10"/>
      <c r="F44" s="10"/>
      <c r="G44" t="s">
        <v>99</v>
      </c>
      <c r="J44" t="s">
        <v>100</v>
      </c>
      <c r="M44" t="s">
        <v>101</v>
      </c>
      <c r="P44" t="s">
        <v>102</v>
      </c>
      <c r="S44" s="10"/>
      <c r="T44" s="10"/>
      <c r="U44" s="2"/>
    </row>
    <row r="45" spans="2:41" x14ac:dyDescent="0.2">
      <c r="B45" s="9" t="s">
        <v>14</v>
      </c>
      <c r="C45" s="10">
        <f>IF(D34&gt;C11/2,C11/2,D34)</f>
        <v>3.2999220764286377</v>
      </c>
      <c r="D45" s="10">
        <f>IF(D36&lt;0,0,D36)</f>
        <v>1.2190723265399599</v>
      </c>
      <c r="E45" s="10"/>
      <c r="F45" s="10"/>
      <c r="G45" s="6" t="s">
        <v>45</v>
      </c>
      <c r="H45" s="6" t="s">
        <v>0</v>
      </c>
      <c r="I45" s="6" t="s">
        <v>80</v>
      </c>
      <c r="J45" s="6" t="s">
        <v>45</v>
      </c>
      <c r="K45" s="6" t="s">
        <v>0</v>
      </c>
      <c r="L45" s="6" t="s">
        <v>80</v>
      </c>
      <c r="M45" s="6" t="s">
        <v>45</v>
      </c>
      <c r="N45" s="6" t="s">
        <v>0</v>
      </c>
      <c r="O45" s="6" t="s">
        <v>80</v>
      </c>
      <c r="P45" s="6" t="s">
        <v>45</v>
      </c>
      <c r="Q45" s="6" t="s">
        <v>0</v>
      </c>
      <c r="R45" s="6" t="s">
        <v>80</v>
      </c>
      <c r="S45" s="10"/>
      <c r="T45" s="6"/>
      <c r="U45" s="2"/>
    </row>
    <row r="46" spans="2:41" x14ac:dyDescent="0.2">
      <c r="B46" s="9" t="s">
        <v>15</v>
      </c>
      <c r="C46" s="10">
        <f>IF(D35&lt;-C11/2,-C11/2,D35)</f>
        <v>-2.8337035023723081</v>
      </c>
      <c r="D46" s="10">
        <f>D45</f>
        <v>1.2190723265399599</v>
      </c>
      <c r="E46" s="10"/>
      <c r="F46" s="10"/>
      <c r="G46" s="10">
        <f>V9</f>
        <v>0</v>
      </c>
      <c r="H46" s="10">
        <f>X9</f>
        <v>-4</v>
      </c>
      <c r="I46" s="6">
        <v>1</v>
      </c>
      <c r="J46" s="10">
        <f>V9</f>
        <v>0</v>
      </c>
      <c r="K46" s="10">
        <f>Y9</f>
        <v>4</v>
      </c>
      <c r="L46" s="6">
        <v>1</v>
      </c>
      <c r="M46" s="10">
        <f>W9</f>
        <v>6</v>
      </c>
      <c r="N46" s="10">
        <f>X9</f>
        <v>-4</v>
      </c>
      <c r="O46" s="6">
        <v>1</v>
      </c>
      <c r="P46" s="10">
        <f>W9</f>
        <v>6</v>
      </c>
      <c r="Q46" s="10">
        <f>Y9</f>
        <v>4</v>
      </c>
      <c r="R46" s="6">
        <v>1</v>
      </c>
      <c r="S46" s="10"/>
      <c r="T46" s="6"/>
      <c r="U46" s="2"/>
    </row>
    <row r="47" spans="2:41" x14ac:dyDescent="0.2">
      <c r="B47" s="9" t="s">
        <v>16</v>
      </c>
      <c r="C47" s="10">
        <f>C46</f>
        <v>-2.8337035023723081</v>
      </c>
      <c r="D47" s="10">
        <f>IF(D37&gt;C12,C12,D37)</f>
        <v>5.6304232686915316</v>
      </c>
      <c r="E47" s="10"/>
      <c r="F47" s="10"/>
      <c r="G47" s="10">
        <f t="shared" ref="G47:G76" si="19">IF($I47=1,V10,G46)</f>
        <v>1.339911079036207E-2</v>
      </c>
      <c r="H47" s="10">
        <f t="shared" ref="H47:H76" si="20">IF($I47=1,X10,H46)</f>
        <v>-3.9497850700887298</v>
      </c>
      <c r="I47" s="6">
        <f t="shared" ref="I47:I76" si="21">IF($V10&gt;$V9,IF(X10&gt;X9,1,0),0)*IF($V10&lt;=C$24,IF(ABS(X10)&lt;=C$25/2,1,0),0)*IF(V10&gt;C$21,0,1)</f>
        <v>1</v>
      </c>
      <c r="J47" s="10">
        <f t="shared" ref="J47:J76" si="22">IF($L47=1,V10,J46)</f>
        <v>1.339911079036207E-2</v>
      </c>
      <c r="K47" s="10">
        <f t="shared" ref="K47:K76" si="23">IF($L47=1,Y10,K46)</f>
        <v>3.9698706230354381</v>
      </c>
      <c r="L47" s="6">
        <f t="shared" ref="L47:L76" si="24">IF($V10&gt;$V9,IF(Y10&lt;=Y9,1,0),0)*IF($V10&lt;=C$24,IF(ABS(Y10)&lt;=C$25/2,1,0),0)*IF(V10&gt;C$21,0,1)</f>
        <v>1</v>
      </c>
      <c r="M47" s="10">
        <f t="shared" ref="M47:M76" si="25">IF($O47=1,W10,M46)</f>
        <v>5.9532800444132663</v>
      </c>
      <c r="N47" s="10">
        <f t="shared" ref="N47:N76" si="26">IF($O47=1,X10,N46)</f>
        <v>-3.9497850700887298</v>
      </c>
      <c r="O47" s="6">
        <f t="shared" ref="O47:O76" si="27">IF($W10&lt;=$W9,IF(X10&gt;=X9,1,0),0)*IF($V10&lt;=C$24,IF(ABS(X10)&lt;=C$25/2,1,0),0)*IF(W10&lt;C$20,0,1)</f>
        <v>1</v>
      </c>
      <c r="P47" s="10">
        <f t="shared" ref="P47:P76" si="28">IF($R47=1,W10,P46)</f>
        <v>5.9532800444132663</v>
      </c>
      <c r="Q47" s="10">
        <f t="shared" ref="Q47:Q76" si="29">IF($R47=1,Y10,Q46)</f>
        <v>3.9698706230354381</v>
      </c>
      <c r="R47" s="6">
        <f t="shared" ref="R47:R76" si="30">IF($W10&lt;=$W9,IF(Y10&lt;=Y9,1,0),0)*IF($V10&lt;=C$24,IF(ABS(Y10)&lt;=C$25/2,1,0),0)*IF(W10&lt;0,0,1)</f>
        <v>1</v>
      </c>
      <c r="U47" s="2"/>
      <c r="V47" s="2"/>
      <c r="X47" s="2"/>
    </row>
    <row r="48" spans="2:41" x14ac:dyDescent="0.2">
      <c r="B48" s="9" t="s">
        <v>17</v>
      </c>
      <c r="C48" s="10">
        <f>C45</f>
        <v>3.2999220764286377</v>
      </c>
      <c r="D48" s="10">
        <f>D47</f>
        <v>5.6304232686915316</v>
      </c>
      <c r="E48" s="10"/>
      <c r="F48" s="10"/>
      <c r="G48" s="10">
        <f t="shared" si="19"/>
        <v>2.9199832182387545E-2</v>
      </c>
      <c r="H48" s="10">
        <f t="shared" si="20"/>
        <v>-3.9005693297588699</v>
      </c>
      <c r="I48" s="6">
        <f t="shared" si="21"/>
        <v>1</v>
      </c>
      <c r="J48" s="10">
        <f t="shared" si="22"/>
        <v>2.9199832182387545E-2</v>
      </c>
      <c r="K48" s="10">
        <f t="shared" si="23"/>
        <v>3.9403399137757198</v>
      </c>
      <c r="L48" s="6">
        <f t="shared" si="24"/>
        <v>1</v>
      </c>
      <c r="M48" s="10">
        <f t="shared" si="25"/>
        <v>5.9101467473212308</v>
      </c>
      <c r="N48" s="10">
        <f t="shared" si="26"/>
        <v>-3.9005693297588699</v>
      </c>
      <c r="O48" s="6">
        <f t="shared" si="27"/>
        <v>1</v>
      </c>
      <c r="P48" s="10">
        <f t="shared" si="28"/>
        <v>5.9101467473212308</v>
      </c>
      <c r="Q48" s="10">
        <f t="shared" si="29"/>
        <v>3.9403399137757198</v>
      </c>
      <c r="R48" s="6">
        <f t="shared" si="30"/>
        <v>1</v>
      </c>
      <c r="U48" s="2"/>
      <c r="X48" s="2"/>
    </row>
    <row r="49" spans="2:21" x14ac:dyDescent="0.2">
      <c r="B49" s="9" t="s">
        <v>14</v>
      </c>
      <c r="C49" s="10">
        <f>C45</f>
        <v>3.2999220764286377</v>
      </c>
      <c r="D49" s="10">
        <f>D45</f>
        <v>1.2190723265399599</v>
      </c>
      <c r="G49" s="10">
        <f t="shared" si="19"/>
        <v>4.733120976058084E-2</v>
      </c>
      <c r="H49" s="10">
        <f t="shared" si="20"/>
        <v>-3.852323331896562</v>
      </c>
      <c r="I49" s="6">
        <f t="shared" si="21"/>
        <v>1</v>
      </c>
      <c r="J49" s="10">
        <f t="shared" si="22"/>
        <v>4.733120976058084E-2</v>
      </c>
      <c r="K49" s="10">
        <f t="shared" si="23"/>
        <v>3.911390230651167</v>
      </c>
      <c r="L49" s="6">
        <f t="shared" si="24"/>
        <v>1</v>
      </c>
      <c r="M49" s="10">
        <f t="shared" si="25"/>
        <v>5.8704945402362227</v>
      </c>
      <c r="N49" s="10">
        <f t="shared" si="26"/>
        <v>-3.852323331896562</v>
      </c>
      <c r="O49" s="6">
        <f t="shared" si="27"/>
        <v>1</v>
      </c>
      <c r="P49" s="10">
        <f t="shared" si="28"/>
        <v>5.8704945402362227</v>
      </c>
      <c r="Q49" s="10">
        <f t="shared" si="29"/>
        <v>3.911390230651167</v>
      </c>
      <c r="R49" s="6">
        <f t="shared" si="30"/>
        <v>1</v>
      </c>
      <c r="S49" s="10"/>
      <c r="T49" s="6"/>
      <c r="U49" s="2"/>
    </row>
    <row r="50" spans="2:21" x14ac:dyDescent="0.2">
      <c r="B50" s="9" t="s">
        <v>173</v>
      </c>
      <c r="C50" t="s">
        <v>8</v>
      </c>
      <c r="G50" s="10">
        <f t="shared" si="19"/>
        <v>6.7725054497891721E-2</v>
      </c>
      <c r="H50" s="10">
        <f t="shared" si="20"/>
        <v>-3.805018773608984</v>
      </c>
      <c r="I50" s="6">
        <f t="shared" si="21"/>
        <v>1</v>
      </c>
      <c r="J50" s="10">
        <f t="shared" si="22"/>
        <v>6.7725054497891721E-2</v>
      </c>
      <c r="K50" s="10">
        <f t="shared" si="23"/>
        <v>3.8830046158767804</v>
      </c>
      <c r="L50" s="6">
        <f t="shared" si="24"/>
        <v>1</v>
      </c>
      <c r="M50" s="10">
        <f t="shared" si="25"/>
        <v>5.8342219518269527</v>
      </c>
      <c r="N50" s="10">
        <f t="shared" si="26"/>
        <v>-3.805018773608984</v>
      </c>
      <c r="O50" s="6">
        <f t="shared" si="27"/>
        <v>1</v>
      </c>
      <c r="P50" s="10">
        <f t="shared" si="28"/>
        <v>5.8342219518269527</v>
      </c>
      <c r="Q50" s="10">
        <f t="shared" si="29"/>
        <v>3.8830046158767804</v>
      </c>
      <c r="R50" s="6">
        <f t="shared" si="30"/>
        <v>1</v>
      </c>
      <c r="S50" s="10"/>
      <c r="T50" s="6"/>
      <c r="U50" s="2"/>
    </row>
    <row r="51" spans="2:21" x14ac:dyDescent="0.2">
      <c r="G51" s="10">
        <f t="shared" si="19"/>
        <v>9.031580887936265E-2</v>
      </c>
      <c r="H51" s="10">
        <f t="shared" si="20"/>
        <v>-3.7586284438404887</v>
      </c>
      <c r="I51" s="6">
        <f t="shared" si="21"/>
        <v>1</v>
      </c>
      <c r="J51" s="10">
        <f t="shared" si="22"/>
        <v>9.031580887936265E-2</v>
      </c>
      <c r="K51" s="10">
        <f t="shared" si="23"/>
        <v>3.8551667641544554</v>
      </c>
      <c r="L51" s="6">
        <f t="shared" si="24"/>
        <v>1</v>
      </c>
      <c r="M51" s="10">
        <f t="shared" si="25"/>
        <v>5.8012314137297922</v>
      </c>
      <c r="N51" s="10">
        <f t="shared" si="26"/>
        <v>-3.7586284438404887</v>
      </c>
      <c r="O51" s="6">
        <f t="shared" si="27"/>
        <v>1</v>
      </c>
      <c r="P51" s="10">
        <f t="shared" si="28"/>
        <v>5.8012314137297922</v>
      </c>
      <c r="Q51" s="10">
        <f t="shared" si="29"/>
        <v>3.8551667641544554</v>
      </c>
      <c r="R51" s="6">
        <f t="shared" si="30"/>
        <v>1</v>
      </c>
      <c r="S51" s="10"/>
      <c r="T51" s="6"/>
      <c r="U51" s="2"/>
    </row>
    <row r="52" spans="2:21" x14ac:dyDescent="0.2">
      <c r="B52" s="19"/>
      <c r="G52" s="10">
        <f t="shared" si="19"/>
        <v>0.11504042133852367</v>
      </c>
      <c r="H52" s="10">
        <f t="shared" si="20"/>
        <v>-3.7131261681365002</v>
      </c>
      <c r="I52" s="6">
        <f t="shared" si="21"/>
        <v>1</v>
      </c>
      <c r="J52" s="10">
        <f t="shared" si="22"/>
        <v>0.11504042133852367</v>
      </c>
      <c r="K52" s="10">
        <f t="shared" si="23"/>
        <v>3.8278609946795661</v>
      </c>
      <c r="L52" s="6">
        <f t="shared" si="24"/>
        <v>1</v>
      </c>
      <c r="M52" s="10">
        <f t="shared" si="25"/>
        <v>5.7714290748474566</v>
      </c>
      <c r="N52" s="10">
        <f t="shared" si="26"/>
        <v>-3.7131261681365002</v>
      </c>
      <c r="O52" s="6">
        <f t="shared" si="27"/>
        <v>1</v>
      </c>
      <c r="P52" s="10">
        <f t="shared" si="28"/>
        <v>5.7714290748474566</v>
      </c>
      <c r="Q52" s="10">
        <f t="shared" si="29"/>
        <v>3.8278609946795661</v>
      </c>
      <c r="R52" s="6">
        <f t="shared" si="30"/>
        <v>1</v>
      </c>
      <c r="S52" s="10"/>
      <c r="T52" s="6"/>
      <c r="U52" s="2"/>
    </row>
    <row r="53" spans="2:21" x14ac:dyDescent="0.2">
      <c r="B53" s="9"/>
      <c r="C53" s="19"/>
      <c r="G53" s="10">
        <f t="shared" si="19"/>
        <v>0.14183822781693886</v>
      </c>
      <c r="H53" s="10">
        <f t="shared" si="20"/>
        <v>-3.6684867627602347</v>
      </c>
      <c r="I53" s="6">
        <f t="shared" si="21"/>
        <v>1</v>
      </c>
      <c r="J53" s="10">
        <f t="shared" si="22"/>
        <v>0.14183822781693886</v>
      </c>
      <c r="K53" s="10">
        <f t="shared" si="23"/>
        <v>3.8010722185152077</v>
      </c>
      <c r="L53" s="6">
        <f t="shared" si="24"/>
        <v>1</v>
      </c>
      <c r="M53" s="10">
        <f t="shared" si="25"/>
        <v>5.744724626151994</v>
      </c>
      <c r="N53" s="10">
        <f t="shared" si="26"/>
        <v>-3.6684867627602347</v>
      </c>
      <c r="O53" s="6">
        <f t="shared" si="27"/>
        <v>1</v>
      </c>
      <c r="P53" s="10">
        <f t="shared" si="28"/>
        <v>5.744724626151994</v>
      </c>
      <c r="Q53" s="10">
        <f t="shared" si="29"/>
        <v>3.8010722185152077</v>
      </c>
      <c r="R53" s="6">
        <f t="shared" si="30"/>
        <v>1</v>
      </c>
      <c r="S53" s="10"/>
      <c r="T53" s="6"/>
      <c r="U53" s="2"/>
    </row>
    <row r="54" spans="2:21" x14ac:dyDescent="0.2">
      <c r="B54" s="9"/>
      <c r="G54" s="10">
        <f t="shared" si="19"/>
        <v>0.17065083997896002</v>
      </c>
      <c r="H54" s="10">
        <f t="shared" si="20"/>
        <v>-3.6246859883063376</v>
      </c>
      <c r="I54" s="6">
        <f t="shared" si="21"/>
        <v>1</v>
      </c>
      <c r="J54" s="10">
        <f t="shared" si="22"/>
        <v>0.17065083997896002</v>
      </c>
      <c r="K54" s="10">
        <f t="shared" si="23"/>
        <v>3.7747859108805173</v>
      </c>
      <c r="L54" s="6">
        <f t="shared" si="24"/>
        <v>1</v>
      </c>
      <c r="M54" s="10">
        <f t="shared" si="25"/>
        <v>5.7210311353043695</v>
      </c>
      <c r="N54" s="10">
        <f t="shared" si="26"/>
        <v>-3.6246859883063376</v>
      </c>
      <c r="O54" s="6">
        <f t="shared" si="27"/>
        <v>1</v>
      </c>
      <c r="P54" s="10">
        <f t="shared" si="28"/>
        <v>5.7210311353043695</v>
      </c>
      <c r="Q54" s="10">
        <f t="shared" si="29"/>
        <v>3.7747859108805173</v>
      </c>
      <c r="R54" s="6">
        <f t="shared" si="30"/>
        <v>1</v>
      </c>
      <c r="S54" s="10"/>
      <c r="T54" s="6"/>
      <c r="U54" s="2"/>
    </row>
    <row r="55" spans="2:21" x14ac:dyDescent="0.2">
      <c r="G55" s="10">
        <f t="shared" si="19"/>
        <v>0.20142203964704908</v>
      </c>
      <c r="H55" s="10">
        <f t="shared" si="20"/>
        <v>-3.5817005028445794</v>
      </c>
      <c r="I55" s="6">
        <f t="shared" si="21"/>
        <v>1</v>
      </c>
      <c r="J55" s="10">
        <f t="shared" si="22"/>
        <v>0.20142203964704908</v>
      </c>
      <c r="K55" s="10">
        <f t="shared" si="23"/>
        <v>3.7489880880335673</v>
      </c>
      <c r="L55" s="6">
        <f t="shared" si="24"/>
        <v>1</v>
      </c>
      <c r="M55" s="10">
        <f t="shared" si="25"/>
        <v>5.7002648904525399</v>
      </c>
      <c r="N55" s="10">
        <f t="shared" si="26"/>
        <v>-3.5817005028445794</v>
      </c>
      <c r="O55" s="6">
        <f t="shared" si="27"/>
        <v>1</v>
      </c>
      <c r="P55" s="10">
        <f t="shared" si="28"/>
        <v>5.7002648904525399</v>
      </c>
      <c r="Q55" s="10">
        <f t="shared" si="29"/>
        <v>3.7489880880335673</v>
      </c>
      <c r="R55" s="6">
        <f t="shared" si="30"/>
        <v>1</v>
      </c>
      <c r="S55" s="10"/>
      <c r="T55" s="6"/>
      <c r="U55" s="2"/>
    </row>
    <row r="56" spans="2:21" x14ac:dyDescent="0.2">
      <c r="G56" s="10">
        <f t="shared" si="19"/>
        <v>0.23409767906144496</v>
      </c>
      <c r="H56" s="10">
        <f t="shared" si="20"/>
        <v>-3.5395078236958928</v>
      </c>
      <c r="I56" s="6">
        <f t="shared" si="21"/>
        <v>1</v>
      </c>
      <c r="J56" s="10">
        <f t="shared" si="22"/>
        <v>0.23409767906144496</v>
      </c>
      <c r="K56" s="10">
        <f t="shared" si="23"/>
        <v>3.7236652793810388</v>
      </c>
      <c r="L56" s="6">
        <f t="shared" si="24"/>
        <v>1</v>
      </c>
      <c r="M56" s="10">
        <f t="shared" si="25"/>
        <v>5.6823452526230049</v>
      </c>
      <c r="N56" s="10">
        <f t="shared" si="26"/>
        <v>-3.5395078236958928</v>
      </c>
      <c r="O56" s="6">
        <f t="shared" si="27"/>
        <v>1</v>
      </c>
      <c r="P56" s="10">
        <f t="shared" si="28"/>
        <v>5.6823452526230049</v>
      </c>
      <c r="Q56" s="10">
        <f t="shared" si="29"/>
        <v>3.7236652793810388</v>
      </c>
      <c r="R56" s="6">
        <f t="shared" si="30"/>
        <v>1</v>
      </c>
      <c r="S56" s="10"/>
      <c r="T56" s="6"/>
      <c r="U56" s="2"/>
    </row>
    <row r="57" spans="2:21" x14ac:dyDescent="0.2">
      <c r="G57" s="10">
        <f t="shared" si="19"/>
        <v>0.26862558658823027</v>
      </c>
      <c r="H57" s="10">
        <f t="shared" si="20"/>
        <v>-3.4980862883007235</v>
      </c>
      <c r="I57" s="6">
        <f t="shared" si="21"/>
        <v>1</v>
      </c>
      <c r="J57" s="10">
        <f t="shared" si="22"/>
        <v>0.26862558658823027</v>
      </c>
      <c r="K57" s="10">
        <f t="shared" si="23"/>
        <v>3.698804504108764</v>
      </c>
      <c r="L57" s="6">
        <f t="shared" si="24"/>
        <v>1</v>
      </c>
      <c r="M57" s="10">
        <f t="shared" si="25"/>
        <v>5.6671945161548951</v>
      </c>
      <c r="N57" s="10">
        <f t="shared" si="26"/>
        <v>-3.4980862883007235</v>
      </c>
      <c r="O57" s="6">
        <f t="shared" si="27"/>
        <v>1</v>
      </c>
      <c r="P57" s="10">
        <f t="shared" si="28"/>
        <v>5.6671945161548951</v>
      </c>
      <c r="Q57" s="10">
        <f t="shared" si="29"/>
        <v>3.698804504108764</v>
      </c>
      <c r="R57" s="6">
        <f t="shared" si="30"/>
        <v>1</v>
      </c>
      <c r="S57" s="10"/>
      <c r="T57" s="6"/>
      <c r="U57" s="2"/>
    </row>
    <row r="58" spans="2:21" x14ac:dyDescent="0.2">
      <c r="G58" s="10">
        <f t="shared" si="19"/>
        <v>0.30495547753630542</v>
      </c>
      <c r="H58" s="10">
        <f t="shared" si="20"/>
        <v>-3.4574150142373941</v>
      </c>
      <c r="I58" s="6">
        <f t="shared" si="21"/>
        <v>1</v>
      </c>
      <c r="J58" s="10">
        <f t="shared" si="22"/>
        <v>0.30495547753630542</v>
      </c>
      <c r="K58" s="10">
        <f t="shared" si="23"/>
        <v>3.6743932520470675</v>
      </c>
      <c r="L58" s="6">
        <f t="shared" si="24"/>
        <v>1</v>
      </c>
      <c r="M58" s="10">
        <f t="shared" si="25"/>
        <v>5.6547377766745104</v>
      </c>
      <c r="N58" s="10">
        <f t="shared" si="26"/>
        <v>-3.4574150142373941</v>
      </c>
      <c r="O58" s="6">
        <f t="shared" si="27"/>
        <v>1</v>
      </c>
      <c r="P58" s="10">
        <f t="shared" si="28"/>
        <v>5.6547377766745104</v>
      </c>
      <c r="Q58" s="10">
        <f t="shared" si="29"/>
        <v>3.6743932520470675</v>
      </c>
      <c r="R58" s="6">
        <f t="shared" si="30"/>
        <v>1</v>
      </c>
      <c r="S58" s="10"/>
      <c r="T58" s="6"/>
      <c r="U58" s="2"/>
    </row>
    <row r="59" spans="2:21" x14ac:dyDescent="0.2">
      <c r="G59" s="10">
        <f t="shared" si="19"/>
        <v>0.34303886975865505</v>
      </c>
      <c r="H59" s="10">
        <f t="shared" si="20"/>
        <v>-3.4174738672718781</v>
      </c>
      <c r="I59" s="6">
        <f t="shared" si="21"/>
        <v>1</v>
      </c>
      <c r="J59" s="10">
        <f t="shared" si="22"/>
        <v>0.34303886975865505</v>
      </c>
      <c r="K59" s="10">
        <f t="shared" si="23"/>
        <v>3.6504194596776056</v>
      </c>
      <c r="L59" s="6">
        <f t="shared" si="24"/>
        <v>1</v>
      </c>
      <c r="M59" s="10">
        <f t="shared" si="25"/>
        <v>5.6449028061347217</v>
      </c>
      <c r="N59" s="10">
        <f t="shared" si="26"/>
        <v>-3.4174738672718781</v>
      </c>
      <c r="O59" s="6">
        <f t="shared" si="27"/>
        <v>1</v>
      </c>
      <c r="P59" s="10">
        <f t="shared" si="28"/>
        <v>5.6449028061347217</v>
      </c>
      <c r="Q59" s="10">
        <f t="shared" si="29"/>
        <v>3.6504194596776056</v>
      </c>
      <c r="R59" s="6">
        <f t="shared" si="30"/>
        <v>1</v>
      </c>
      <c r="S59" s="10"/>
      <c r="T59" s="6"/>
      <c r="U59" s="2"/>
    </row>
    <row r="60" spans="2:21" x14ac:dyDescent="0.2">
      <c r="G60" s="10">
        <f t="shared" si="19"/>
        <v>0.38282900374564888</v>
      </c>
      <c r="H60" s="10">
        <f t="shared" si="20"/>
        <v>-3.3782434272182851</v>
      </c>
      <c r="I60" s="6">
        <f t="shared" si="21"/>
        <v>1</v>
      </c>
      <c r="J60" s="10">
        <f t="shared" si="22"/>
        <v>0.38282900374564888</v>
      </c>
      <c r="K60" s="10">
        <f t="shared" si="23"/>
        <v>3.6268714913054612</v>
      </c>
      <c r="L60" s="6">
        <f t="shared" si="24"/>
        <v>1</v>
      </c>
      <c r="M60" s="10">
        <f t="shared" si="25"/>
        <v>5.6376199344866045</v>
      </c>
      <c r="N60" s="10">
        <f t="shared" si="26"/>
        <v>-3.3782434272182851</v>
      </c>
      <c r="O60" s="6">
        <f t="shared" si="27"/>
        <v>1</v>
      </c>
      <c r="P60" s="10">
        <f t="shared" si="28"/>
        <v>5.6376199344866045</v>
      </c>
      <c r="Q60" s="10">
        <f t="shared" si="29"/>
        <v>3.6268714913054612</v>
      </c>
      <c r="R60" s="6">
        <f t="shared" si="30"/>
        <v>1</v>
      </c>
      <c r="S60" s="10"/>
      <c r="T60" s="6"/>
      <c r="U60" s="2"/>
    </row>
    <row r="61" spans="2:21" x14ac:dyDescent="0.2">
      <c r="G61" s="10">
        <f t="shared" si="19"/>
        <v>0.42428076692999539</v>
      </c>
      <c r="H61" s="10">
        <f t="shared" si="20"/>
        <v>-3.3397049565631662</v>
      </c>
      <c r="I61" s="6">
        <f t="shared" si="21"/>
        <v>1</v>
      </c>
      <c r="J61" s="10">
        <f t="shared" si="22"/>
        <v>0.42428076692999539</v>
      </c>
      <c r="K61" s="10">
        <f t="shared" si="23"/>
        <v>3.6037381202603234</v>
      </c>
      <c r="L61" s="6">
        <f t="shared" si="24"/>
        <v>1</v>
      </c>
      <c r="M61" s="10">
        <f t="shared" si="25"/>
        <v>5.632821937572297</v>
      </c>
      <c r="N61" s="10">
        <f t="shared" si="26"/>
        <v>-3.3397049565631662</v>
      </c>
      <c r="O61" s="6">
        <f t="shared" si="27"/>
        <v>1</v>
      </c>
      <c r="P61" s="10">
        <f t="shared" si="28"/>
        <v>5.632821937572297</v>
      </c>
      <c r="Q61" s="10">
        <f t="shared" si="29"/>
        <v>3.6037381202603234</v>
      </c>
      <c r="R61" s="6">
        <f t="shared" si="30"/>
        <v>1</v>
      </c>
      <c r="S61" s="10"/>
      <c r="T61" s="6"/>
      <c r="U61" s="2"/>
    </row>
    <row r="62" spans="2:21" x14ac:dyDescent="0.2">
      <c r="G62" s="10">
        <f t="shared" si="19"/>
        <v>0.46735062194938126</v>
      </c>
      <c r="H62" s="10">
        <f t="shared" si="20"/>
        <v>-3.3018403716850027</v>
      </c>
      <c r="I62" s="6">
        <f t="shared" si="21"/>
        <v>1</v>
      </c>
      <c r="J62" s="10">
        <f t="shared" si="22"/>
        <v>0.46735062194938126</v>
      </c>
      <c r="K62" s="10">
        <f t="shared" si="23"/>
        <v>3.5810085101250833</v>
      </c>
      <c r="L62" s="6">
        <f t="shared" si="24"/>
        <v>1</v>
      </c>
      <c r="M62" s="10">
        <f t="shared" si="25"/>
        <v>5.6304439308635992</v>
      </c>
      <c r="N62" s="10">
        <f t="shared" si="26"/>
        <v>-3.3018403716850027</v>
      </c>
      <c r="O62" s="6">
        <f t="shared" si="27"/>
        <v>1</v>
      </c>
      <c r="P62" s="10">
        <f t="shared" si="28"/>
        <v>5.6304439308635992</v>
      </c>
      <c r="Q62" s="10">
        <f t="shared" si="29"/>
        <v>3.5810085101250833</v>
      </c>
      <c r="R62" s="6">
        <f t="shared" si="30"/>
        <v>1</v>
      </c>
      <c r="S62" s="10"/>
      <c r="T62" s="6"/>
      <c r="U62" s="2"/>
    </row>
    <row r="63" spans="2:21" x14ac:dyDescent="0.2">
      <c r="G63" s="10">
        <f t="shared" si="19"/>
        <v>0.51199653862526673</v>
      </c>
      <c r="H63" s="10">
        <f t="shared" si="20"/>
        <v>-3.2646322108303334</v>
      </c>
      <c r="I63" s="6">
        <f t="shared" si="21"/>
        <v>1</v>
      </c>
      <c r="J63" s="10">
        <f t="shared" si="22"/>
        <v>0.51199653862526673</v>
      </c>
      <c r="K63" s="10">
        <f t="shared" si="23"/>
        <v>3.5586722016718237</v>
      </c>
      <c r="L63" s="6">
        <f t="shared" si="24"/>
        <v>1</v>
      </c>
      <c r="M63" s="10">
        <f t="shared" si="25"/>
        <v>5.6304232686915316</v>
      </c>
      <c r="N63" s="10">
        <f t="shared" si="26"/>
        <v>-3.2646322108303334</v>
      </c>
      <c r="O63" s="6">
        <f t="shared" si="27"/>
        <v>1</v>
      </c>
      <c r="P63" s="10">
        <f t="shared" si="28"/>
        <v>5.6304232686915316</v>
      </c>
      <c r="Q63" s="10">
        <f t="shared" si="29"/>
        <v>3.5586722016718237</v>
      </c>
      <c r="R63" s="6">
        <f t="shared" si="30"/>
        <v>1</v>
      </c>
      <c r="S63" s="10"/>
      <c r="T63" s="6"/>
      <c r="U63" s="2"/>
    </row>
    <row r="64" spans="2:21" x14ac:dyDescent="0.2">
      <c r="G64" s="10">
        <f t="shared" si="19"/>
        <v>0.55817792943698064</v>
      </c>
      <c r="H64" s="10">
        <f t="shared" si="20"/>
        <v>-3.228063614062235</v>
      </c>
      <c r="I64" s="6">
        <f t="shared" si="21"/>
        <v>1</v>
      </c>
      <c r="J64" s="10">
        <f t="shared" si="22"/>
        <v>0.55817792943698064</v>
      </c>
      <c r="K64" s="10">
        <f t="shared" si="23"/>
        <v>3.536719090141808</v>
      </c>
      <c r="L64" s="6">
        <f t="shared" si="24"/>
        <v>1</v>
      </c>
      <c r="M64" s="10">
        <f t="shared" si="25"/>
        <v>5.6304232686915316</v>
      </c>
      <c r="N64" s="10">
        <f t="shared" si="26"/>
        <v>-3.2646322108303334</v>
      </c>
      <c r="O64" s="6">
        <f t="shared" si="27"/>
        <v>0</v>
      </c>
      <c r="P64" s="10">
        <f t="shared" si="28"/>
        <v>5.6304232686915316</v>
      </c>
      <c r="Q64" s="10">
        <f t="shared" si="29"/>
        <v>3.5586722016718237</v>
      </c>
      <c r="R64" s="6">
        <f t="shared" si="30"/>
        <v>0</v>
      </c>
      <c r="S64" s="10"/>
      <c r="T64" s="6"/>
      <c r="U64" s="2"/>
    </row>
    <row r="65" spans="2:21" x14ac:dyDescent="0.2">
      <c r="G65" s="10">
        <f t="shared" si="19"/>
        <v>0.60585558828320929</v>
      </c>
      <c r="H65" s="10">
        <f t="shared" si="20"/>
        <v>-3.1921182902673557</v>
      </c>
      <c r="I65" s="6">
        <f t="shared" si="21"/>
        <v>1</v>
      </c>
      <c r="J65" s="10">
        <f t="shared" si="22"/>
        <v>0.60585558828320929</v>
      </c>
      <c r="K65" s="10">
        <f t="shared" si="23"/>
        <v>3.5151394176456399</v>
      </c>
      <c r="L65" s="6">
        <f t="shared" si="24"/>
        <v>1</v>
      </c>
      <c r="M65" s="10">
        <f t="shared" si="25"/>
        <v>5.6304232686915316</v>
      </c>
      <c r="N65" s="10">
        <f t="shared" si="26"/>
        <v>-3.2646322108303334</v>
      </c>
      <c r="O65" s="6">
        <f t="shared" si="27"/>
        <v>0</v>
      </c>
      <c r="P65" s="10">
        <f t="shared" si="28"/>
        <v>5.6304232686915316</v>
      </c>
      <c r="Q65" s="10">
        <f t="shared" si="29"/>
        <v>3.5586722016718237</v>
      </c>
      <c r="R65" s="6">
        <f t="shared" si="30"/>
        <v>0</v>
      </c>
      <c r="S65" s="10"/>
      <c r="T65" s="6"/>
      <c r="U65" s="2"/>
    </row>
    <row r="66" spans="2:21" x14ac:dyDescent="0.2">
      <c r="G66" s="10">
        <f t="shared" si="19"/>
        <v>0.65499163233531765</v>
      </c>
      <c r="H66" s="10">
        <f t="shared" si="20"/>
        <v>-3.1567805005975278</v>
      </c>
      <c r="I66" s="6">
        <f t="shared" si="21"/>
        <v>1</v>
      </c>
      <c r="J66" s="10">
        <f t="shared" si="22"/>
        <v>0.65499163233531765</v>
      </c>
      <c r="K66" s="10">
        <f t="shared" si="23"/>
        <v>3.4939237511791226</v>
      </c>
      <c r="L66" s="6">
        <f t="shared" si="24"/>
        <v>1</v>
      </c>
      <c r="M66" s="10">
        <f t="shared" si="25"/>
        <v>5.6304232686915316</v>
      </c>
      <c r="N66" s="10">
        <f t="shared" si="26"/>
        <v>-3.2646322108303334</v>
      </c>
      <c r="O66" s="6">
        <f t="shared" si="27"/>
        <v>0</v>
      </c>
      <c r="P66" s="10">
        <f t="shared" si="28"/>
        <v>5.6304232686915316</v>
      </c>
      <c r="Q66" s="10">
        <f t="shared" si="29"/>
        <v>3.5586722016718237</v>
      </c>
      <c r="R66" s="6">
        <f t="shared" si="30"/>
        <v>0</v>
      </c>
      <c r="S66" s="10"/>
      <c r="T66" s="6"/>
      <c r="U66" s="2"/>
    </row>
    <row r="67" spans="2:21" x14ac:dyDescent="0.2">
      <c r="G67" s="10">
        <f t="shared" si="19"/>
        <v>0.70554944680329046</v>
      </c>
      <c r="H67" s="10">
        <f t="shared" si="20"/>
        <v>-3.12203502809612</v>
      </c>
      <c r="I67" s="6">
        <f t="shared" si="21"/>
        <v>1</v>
      </c>
      <c r="J67" s="10">
        <f t="shared" si="22"/>
        <v>0.70554944680329046</v>
      </c>
      <c r="K67" s="10">
        <f t="shared" si="23"/>
        <v>3.4730629763849223</v>
      </c>
      <c r="L67" s="6">
        <f t="shared" si="24"/>
        <v>1</v>
      </c>
      <c r="M67" s="10">
        <f t="shared" si="25"/>
        <v>5.6304232686915316</v>
      </c>
      <c r="N67" s="10">
        <f t="shared" si="26"/>
        <v>-3.2646322108303334</v>
      </c>
      <c r="O67" s="6">
        <f t="shared" si="27"/>
        <v>0</v>
      </c>
      <c r="P67" s="10">
        <f t="shared" si="28"/>
        <v>5.6304232686915316</v>
      </c>
      <c r="Q67" s="10">
        <f t="shared" si="29"/>
        <v>3.5586722016718237</v>
      </c>
      <c r="R67" s="6">
        <f t="shared" si="30"/>
        <v>0</v>
      </c>
    </row>
    <row r="68" spans="2:21" x14ac:dyDescent="0.2">
      <c r="G68" s="10">
        <f t="shared" si="19"/>
        <v>0.75749363244714141</v>
      </c>
      <c r="H68" s="10">
        <f t="shared" si="20"/>
        <v>-3.0878671624486649</v>
      </c>
      <c r="I68" s="6">
        <f t="shared" si="21"/>
        <v>1</v>
      </c>
      <c r="J68" s="10">
        <f t="shared" si="22"/>
        <v>0.75749363244714141</v>
      </c>
      <c r="K68" s="10">
        <f t="shared" si="23"/>
        <v>3.4525482780085448</v>
      </c>
      <c r="L68" s="6">
        <f t="shared" si="24"/>
        <v>1</v>
      </c>
      <c r="M68" s="10">
        <f t="shared" si="25"/>
        <v>5.6304232686915316</v>
      </c>
      <c r="N68" s="10">
        <f t="shared" si="26"/>
        <v>-3.2646322108303334</v>
      </c>
      <c r="O68" s="6">
        <f t="shared" si="27"/>
        <v>0</v>
      </c>
      <c r="P68" s="10">
        <f t="shared" si="28"/>
        <v>5.6304232686915316</v>
      </c>
      <c r="Q68" s="10">
        <f t="shared" si="29"/>
        <v>3.5586722016718237</v>
      </c>
      <c r="R68" s="6">
        <f t="shared" si="30"/>
        <v>0</v>
      </c>
    </row>
    <row r="69" spans="2:21" x14ac:dyDescent="0.2">
      <c r="G69" s="10">
        <f t="shared" si="19"/>
        <v>0.81078995567166401</v>
      </c>
      <c r="H69" s="10">
        <f t="shared" si="20"/>
        <v>-3.0542626755820685</v>
      </c>
      <c r="I69" s="6">
        <f t="shared" si="21"/>
        <v>1</v>
      </c>
      <c r="J69" s="10">
        <f t="shared" si="22"/>
        <v>0.81078995567166401</v>
      </c>
      <c r="K69" s="10">
        <f t="shared" si="23"/>
        <v>3.4323711312198681</v>
      </c>
      <c r="L69" s="6">
        <f t="shared" si="24"/>
        <v>1</v>
      </c>
      <c r="M69" s="10">
        <f t="shared" si="25"/>
        <v>5.6304232686915316</v>
      </c>
      <c r="N69" s="10">
        <f t="shared" si="26"/>
        <v>-3.2646322108303334</v>
      </c>
      <c r="O69" s="6">
        <f t="shared" si="27"/>
        <v>0</v>
      </c>
      <c r="P69" s="10">
        <f t="shared" si="28"/>
        <v>5.6304232686915316</v>
      </c>
      <c r="Q69" s="10">
        <f t="shared" si="29"/>
        <v>3.5586722016718237</v>
      </c>
      <c r="R69" s="6">
        <f t="shared" si="30"/>
        <v>0</v>
      </c>
    </row>
    <row r="70" spans="2:21" x14ac:dyDescent="0.2">
      <c r="G70" s="10">
        <f t="shared" si="19"/>
        <v>0.86540530106118674</v>
      </c>
      <c r="H70" s="10">
        <f t="shared" si="20"/>
        <v>-3.0212078020278343</v>
      </c>
      <c r="I70" s="6">
        <f t="shared" si="21"/>
        <v>1</v>
      </c>
      <c r="J70" s="10">
        <f t="shared" si="22"/>
        <v>0.86540530106118674</v>
      </c>
      <c r="K70" s="10">
        <f t="shared" si="23"/>
        <v>3.4125232897870137</v>
      </c>
      <c r="L70" s="6">
        <f t="shared" si="24"/>
        <v>1</v>
      </c>
      <c r="M70" s="10">
        <f t="shared" si="25"/>
        <v>5.6304232686915316</v>
      </c>
      <c r="N70" s="10">
        <f t="shared" si="26"/>
        <v>-3.2646322108303334</v>
      </c>
      <c r="O70" s="6">
        <f t="shared" si="27"/>
        <v>0</v>
      </c>
      <c r="P70" s="10">
        <f t="shared" si="28"/>
        <v>5.6304232686915316</v>
      </c>
      <c r="Q70" s="10">
        <f t="shared" si="29"/>
        <v>3.5586722016718237</v>
      </c>
      <c r="R70" s="6">
        <f t="shared" si="30"/>
        <v>0</v>
      </c>
    </row>
    <row r="71" spans="2:21" x14ac:dyDescent="0.2">
      <c r="G71" s="10">
        <f t="shared" si="19"/>
        <v>0.92130762621511586</v>
      </c>
      <c r="H71" s="10">
        <f t="shared" si="20"/>
        <v>-2.9886892228939681</v>
      </c>
      <c r="I71" s="6">
        <f t="shared" si="21"/>
        <v>1</v>
      </c>
      <c r="J71" s="10">
        <f t="shared" si="22"/>
        <v>0.92130762621511586</v>
      </c>
      <c r="K71" s="10">
        <f t="shared" si="23"/>
        <v>3.3929967721665277</v>
      </c>
      <c r="L71" s="6">
        <f t="shared" si="24"/>
        <v>1</v>
      </c>
      <c r="M71" s="10">
        <f t="shared" si="25"/>
        <v>5.6304232686915316</v>
      </c>
      <c r="N71" s="10">
        <f t="shared" si="26"/>
        <v>-3.2646322108303334</v>
      </c>
      <c r="O71" s="6">
        <f t="shared" si="27"/>
        <v>0</v>
      </c>
      <c r="P71" s="10">
        <f t="shared" si="28"/>
        <v>5.6304232686915316</v>
      </c>
      <c r="Q71" s="10">
        <f t="shared" si="29"/>
        <v>3.5586722016718237</v>
      </c>
      <c r="R71" s="6">
        <f t="shared" si="30"/>
        <v>0</v>
      </c>
    </row>
    <row r="72" spans="2:21" x14ac:dyDescent="0.2">
      <c r="G72" s="10">
        <f t="shared" si="19"/>
        <v>0.9784659187537964</v>
      </c>
      <c r="H72" s="10">
        <f t="shared" si="20"/>
        <v>-2.9566940453361776</v>
      </c>
      <c r="I72" s="6">
        <f t="shared" si="21"/>
        <v>1</v>
      </c>
      <c r="J72" s="10">
        <f t="shared" si="22"/>
        <v>0.9784659187537964</v>
      </c>
      <c r="K72" s="10">
        <f t="shared" si="23"/>
        <v>3.3737838535337135</v>
      </c>
      <c r="L72" s="6">
        <f t="shared" si="24"/>
        <v>1</v>
      </c>
      <c r="M72" s="10">
        <f t="shared" si="25"/>
        <v>5.6304232686915316</v>
      </c>
      <c r="N72" s="10">
        <f t="shared" si="26"/>
        <v>-3.2646322108303334</v>
      </c>
      <c r="O72" s="6">
        <f t="shared" si="27"/>
        <v>0</v>
      </c>
      <c r="P72" s="10">
        <f t="shared" si="28"/>
        <v>5.6304232686915316</v>
      </c>
      <c r="Q72" s="10">
        <f t="shared" si="29"/>
        <v>3.5586722016718237</v>
      </c>
      <c r="R72" s="6">
        <f t="shared" si="30"/>
        <v>0</v>
      </c>
    </row>
    <row r="73" spans="2:21" x14ac:dyDescent="0.2">
      <c r="G73" s="10">
        <f t="shared" si="19"/>
        <v>1.0368501553767104</v>
      </c>
      <c r="H73" s="10">
        <f t="shared" si="20"/>
        <v>-2.9252097856230455</v>
      </c>
      <c r="I73" s="6">
        <f t="shared" si="21"/>
        <v>1</v>
      </c>
      <c r="J73" s="10">
        <f t="shared" si="22"/>
        <v>1.0368501553767104</v>
      </c>
      <c r="K73" s="10">
        <f t="shared" si="23"/>
        <v>3.3548770555783163</v>
      </c>
      <c r="L73" s="6">
        <f t="shared" si="24"/>
        <v>1</v>
      </c>
      <c r="M73" s="10">
        <f t="shared" si="25"/>
        <v>5.6304232686915316</v>
      </c>
      <c r="N73" s="10">
        <f t="shared" si="26"/>
        <v>-3.2646322108303334</v>
      </c>
      <c r="O73" s="6">
        <f t="shared" si="27"/>
        <v>0</v>
      </c>
      <c r="P73" s="10">
        <f t="shared" si="28"/>
        <v>5.6304232686915316</v>
      </c>
      <c r="Q73" s="10">
        <f t="shared" si="29"/>
        <v>3.5586722016718237</v>
      </c>
      <c r="R73" s="6">
        <f t="shared" si="30"/>
        <v>0</v>
      </c>
    </row>
    <row r="74" spans="2:21" x14ac:dyDescent="0.2">
      <c r="G74" s="10">
        <f t="shared" si="19"/>
        <v>1.0964312628569335</v>
      </c>
      <c r="H74" s="10">
        <f t="shared" si="20"/>
        <v>-2.8942243547318971</v>
      </c>
      <c r="I74" s="6">
        <f t="shared" si="21"/>
        <v>1</v>
      </c>
      <c r="J74" s="10">
        <f t="shared" si="22"/>
        <v>1.0964312628569335</v>
      </c>
      <c r="K74" s="10">
        <f t="shared" si="23"/>
        <v>3.3362691350538025</v>
      </c>
      <c r="L74" s="6">
        <f t="shared" si="24"/>
        <v>1</v>
      </c>
      <c r="M74" s="10">
        <f t="shared" si="25"/>
        <v>5.6304232686915316</v>
      </c>
      <c r="N74" s="10">
        <f t="shared" si="26"/>
        <v>-3.2646322108303334</v>
      </c>
      <c r="O74" s="6">
        <f t="shared" si="27"/>
        <v>0</v>
      </c>
      <c r="P74" s="10">
        <f t="shared" si="28"/>
        <v>5.6304232686915316</v>
      </c>
      <c r="Q74" s="10">
        <f t="shared" si="29"/>
        <v>3.5586722016718237</v>
      </c>
      <c r="R74" s="6">
        <f t="shared" si="30"/>
        <v>0</v>
      </c>
    </row>
    <row r="75" spans="2:21" x14ac:dyDescent="0.2">
      <c r="G75" s="10">
        <f t="shared" si="19"/>
        <v>1.1571810808675027</v>
      </c>
      <c r="H75" s="10">
        <f t="shared" si="20"/>
        <v>-2.8637260429051161</v>
      </c>
      <c r="I75" s="6">
        <f t="shared" si="21"/>
        <v>1</v>
      </c>
      <c r="J75" s="10">
        <f t="shared" si="22"/>
        <v>1.1571810808675027</v>
      </c>
      <c r="K75" s="10">
        <f t="shared" si="23"/>
        <v>3.3179530745801311</v>
      </c>
      <c r="L75" s="6">
        <f t="shared" si="24"/>
        <v>1</v>
      </c>
      <c r="M75" s="10">
        <f t="shared" si="25"/>
        <v>5.6304232686915316</v>
      </c>
      <c r="N75" s="10">
        <f t="shared" si="26"/>
        <v>-3.2646322108303334</v>
      </c>
      <c r="O75" s="6">
        <f t="shared" si="27"/>
        <v>0</v>
      </c>
      <c r="P75" s="10">
        <f t="shared" si="28"/>
        <v>5.6304232686915316</v>
      </c>
      <c r="Q75" s="10">
        <f t="shared" si="29"/>
        <v>3.5586722016718237</v>
      </c>
      <c r="R75" s="6">
        <f t="shared" si="30"/>
        <v>0</v>
      </c>
    </row>
    <row r="76" spans="2:21" x14ac:dyDescent="0.2">
      <c r="G76" s="10">
        <f t="shared" si="19"/>
        <v>1.2190723265399599</v>
      </c>
      <c r="H76" s="10">
        <f t="shared" si="20"/>
        <v>-2.8337035023723081</v>
      </c>
      <c r="I76" s="6">
        <f t="shared" si="21"/>
        <v>1</v>
      </c>
      <c r="J76" s="10">
        <f t="shared" si="22"/>
        <v>1.2190723265399599</v>
      </c>
      <c r="K76" s="10">
        <f t="shared" si="23"/>
        <v>3.2999220764286377</v>
      </c>
      <c r="L76" s="6">
        <f t="shared" si="24"/>
        <v>1</v>
      </c>
      <c r="M76" s="10">
        <f t="shared" si="25"/>
        <v>5.6304232686915316</v>
      </c>
      <c r="N76" s="10">
        <f t="shared" si="26"/>
        <v>-3.2646322108303334</v>
      </c>
      <c r="O76" s="6">
        <f t="shared" si="27"/>
        <v>0</v>
      </c>
      <c r="P76" s="10">
        <f t="shared" si="28"/>
        <v>5.6304232686915316</v>
      </c>
      <c r="Q76" s="10">
        <f t="shared" si="29"/>
        <v>3.5586722016718237</v>
      </c>
      <c r="R76" s="6">
        <f t="shared" si="30"/>
        <v>0</v>
      </c>
    </row>
    <row r="77" spans="2:21" x14ac:dyDescent="0.2">
      <c r="B77" t="s">
        <v>196</v>
      </c>
      <c r="G77" s="10"/>
      <c r="H77" s="10"/>
      <c r="I77" s="6"/>
      <c r="J77" s="10"/>
      <c r="K77" s="10"/>
      <c r="L77" s="6"/>
      <c r="M77" s="10"/>
      <c r="N77" s="10"/>
      <c r="O77" s="6"/>
      <c r="P77" s="10"/>
      <c r="Q77" s="10"/>
      <c r="R77" s="6"/>
    </row>
    <row r="78" spans="2:21" x14ac:dyDescent="0.2">
      <c r="B78" s="9" t="s">
        <v>88</v>
      </c>
      <c r="C78" s="2">
        <f>D47-D45</f>
        <v>4.4113509421515715</v>
      </c>
      <c r="D78" s="9" t="s">
        <v>108</v>
      </c>
      <c r="F78" s="2"/>
    </row>
    <row r="79" spans="2:21" x14ac:dyDescent="0.2">
      <c r="B79" s="9" t="s">
        <v>87</v>
      </c>
      <c r="C79" s="2">
        <f>C45-C46</f>
        <v>6.1336255788009453</v>
      </c>
      <c r="D79" s="9" t="s">
        <v>108</v>
      </c>
      <c r="F79" s="2"/>
    </row>
    <row r="80" spans="2:21" x14ac:dyDescent="0.2">
      <c r="B80" s="9" t="s">
        <v>197</v>
      </c>
      <c r="C80" s="53">
        <f>IF(C79&gt;2*C78,2*C78,C79)</f>
        <v>6.1336255788009453</v>
      </c>
      <c r="D80" s="9" t="s">
        <v>108</v>
      </c>
      <c r="F80" s="2"/>
    </row>
    <row r="81" spans="2:6" x14ac:dyDescent="0.2">
      <c r="B81" s="9" t="s">
        <v>171</v>
      </c>
      <c r="C81" s="2">
        <f>C78*C80</f>
        <v>27.057574975848528</v>
      </c>
      <c r="D81" s="9" t="s">
        <v>200</v>
      </c>
      <c r="F81" s="2"/>
    </row>
    <row r="82" spans="2:6" x14ac:dyDescent="0.2">
      <c r="B82" s="9" t="s">
        <v>215</v>
      </c>
      <c r="C82" s="17">
        <f>'Short tunnels'!C5/('Short tunnels'!C5+'Short tunnels'!C14-'Short tunnels'!C18)</f>
        <v>0.76666666666666672</v>
      </c>
      <c r="F82" s="2"/>
    </row>
    <row r="83" spans="2:6" x14ac:dyDescent="0.2">
      <c r="B83" s="9" t="s">
        <v>216</v>
      </c>
      <c r="C83" s="2">
        <f>C81/(C82*C82)</f>
        <v>46.033681433390683</v>
      </c>
      <c r="D83" s="9" t="s">
        <v>200</v>
      </c>
      <c r="F83" s="2"/>
    </row>
    <row r="84" spans="2:6" x14ac:dyDescent="0.2">
      <c r="B84" s="9" t="s">
        <v>199</v>
      </c>
      <c r="C84" s="2">
        <f>SQRT(4*C83/3.1416)</f>
        <v>7.6558321906196314</v>
      </c>
      <c r="D84" s="9" t="s">
        <v>108</v>
      </c>
      <c r="F84" s="2"/>
    </row>
    <row r="85" spans="2:6" x14ac:dyDescent="0.2">
      <c r="B85" s="9" t="s">
        <v>198</v>
      </c>
      <c r="C85" s="2">
        <f>'Short tunnels'!C5+'Short tunnels'!C14</f>
        <v>310</v>
      </c>
      <c r="D85" s="9" t="s">
        <v>108</v>
      </c>
    </row>
    <row r="86" spans="2:6" x14ac:dyDescent="0.2">
      <c r="B86" s="9" t="s">
        <v>201</v>
      </c>
      <c r="C86" s="1">
        <f>180*C84/(C85*3.1416)</f>
        <v>1.4149866046390309</v>
      </c>
      <c r="D86" s="9" t="s">
        <v>202</v>
      </c>
    </row>
  </sheetData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5"/>
  <dimension ref="A2:M57"/>
  <sheetViews>
    <sheetView topLeftCell="A12" workbookViewId="0">
      <selection activeCell="F55" sqref="F55"/>
    </sheetView>
  </sheetViews>
  <sheetFormatPr defaultRowHeight="12.75" x14ac:dyDescent="0.2"/>
  <cols>
    <col min="1" max="1" width="55.85546875" customWidth="1"/>
    <col min="5" max="5" width="9.5703125" bestFit="1" customWidth="1"/>
  </cols>
  <sheetData>
    <row r="2" spans="1:6" x14ac:dyDescent="0.2">
      <c r="A2" s="50" t="s">
        <v>115</v>
      </c>
    </row>
    <row r="3" spans="1:6" x14ac:dyDescent="0.2">
      <c r="A3" s="52" t="s">
        <v>183</v>
      </c>
      <c r="F3" t="s">
        <v>193</v>
      </c>
    </row>
    <row r="4" spans="1:6" x14ac:dyDescent="0.2">
      <c r="F4" t="s">
        <v>195</v>
      </c>
    </row>
    <row r="5" spans="1:6" x14ac:dyDescent="0.2">
      <c r="A5" s="19" t="s">
        <v>31</v>
      </c>
      <c r="F5" t="s">
        <v>194</v>
      </c>
    </row>
    <row r="6" spans="1:6" x14ac:dyDescent="0.2">
      <c r="A6" s="9" t="s">
        <v>177</v>
      </c>
      <c r="B6" s="49">
        <f>'Short tunnels'!$C$25</f>
        <v>1.6</v>
      </c>
    </row>
    <row r="7" spans="1:6" x14ac:dyDescent="0.2">
      <c r="A7" s="9" t="s">
        <v>178</v>
      </c>
      <c r="B7" s="49">
        <f>'Short tunnels'!$C$26</f>
        <v>1.4</v>
      </c>
    </row>
    <row r="8" spans="1:6" x14ac:dyDescent="0.2">
      <c r="A8" s="9" t="s">
        <v>179</v>
      </c>
      <c r="B8" s="49">
        <f>'Short tunnels'!$C$27</f>
        <v>1.75</v>
      </c>
    </row>
    <row r="9" spans="1:6" x14ac:dyDescent="0.2">
      <c r="B9" s="50"/>
    </row>
    <row r="10" spans="1:6" x14ac:dyDescent="0.2">
      <c r="A10" s="19" t="s">
        <v>32</v>
      </c>
      <c r="B10" s="50"/>
    </row>
    <row r="11" spans="1:6" x14ac:dyDescent="0.2">
      <c r="A11" s="9" t="s">
        <v>180</v>
      </c>
      <c r="B11" s="49">
        <f>'Short tunnels'!C30</f>
        <v>1.8</v>
      </c>
    </row>
    <row r="12" spans="1:6" x14ac:dyDescent="0.2">
      <c r="A12" s="9" t="s">
        <v>181</v>
      </c>
      <c r="B12" s="49">
        <f>'Short tunnels'!C31</f>
        <v>0.5</v>
      </c>
    </row>
    <row r="13" spans="1:6" x14ac:dyDescent="0.2">
      <c r="A13" s="9" t="s">
        <v>179</v>
      </c>
      <c r="B13" s="49">
        <f>'Short tunnels'!C32</f>
        <v>3</v>
      </c>
    </row>
    <row r="15" spans="1:6" x14ac:dyDescent="0.2">
      <c r="A15" s="19" t="s">
        <v>7</v>
      </c>
    </row>
    <row r="16" spans="1:6" x14ac:dyDescent="0.2">
      <c r="A16" s="9" t="s">
        <v>41</v>
      </c>
      <c r="B16" s="49">
        <f>'Apparent entrance portal'!C27</f>
        <v>3.9361702602456332</v>
      </c>
    </row>
    <row r="17" spans="1:13" x14ac:dyDescent="0.2">
      <c r="A17" s="9" t="s">
        <v>42</v>
      </c>
      <c r="B17" s="49">
        <f>'Apparent entrance portal'!C28</f>
        <v>-3.8936169735936783</v>
      </c>
      <c r="C17" s="6"/>
      <c r="D17" s="1"/>
    </row>
    <row r="18" spans="1:13" x14ac:dyDescent="0.2">
      <c r="A18" s="9" t="s">
        <v>48</v>
      </c>
      <c r="B18" s="49">
        <f>'Apparent entrance portal'!C37</f>
        <v>3.1648954338939259E-2</v>
      </c>
    </row>
    <row r="19" spans="1:13" x14ac:dyDescent="0.2">
      <c r="A19" s="9" t="s">
        <v>49</v>
      </c>
      <c r="B19" s="49">
        <f>'Apparent entrance portal'!C38</f>
        <v>5.8981693159578237</v>
      </c>
    </row>
    <row r="20" spans="1:13" x14ac:dyDescent="0.2">
      <c r="A20" s="9" t="s">
        <v>188</v>
      </c>
      <c r="B20" s="21">
        <f>(B16-B17)/'Short tunnels'!C13</f>
        <v>0.978723404229914</v>
      </c>
    </row>
    <row r="21" spans="1:13" x14ac:dyDescent="0.2">
      <c r="A21" s="9" t="s">
        <v>189</v>
      </c>
      <c r="B21" s="21">
        <f>(B19-B18)/'Short tunnels'!C12</f>
        <v>0.97775339360314739</v>
      </c>
    </row>
    <row r="22" spans="1:13" x14ac:dyDescent="0.2">
      <c r="A22" s="9" t="s">
        <v>190</v>
      </c>
      <c r="B22" s="10">
        <f>AVERAGE(B16:B17)</f>
        <v>2.1276643325977451E-2</v>
      </c>
    </row>
    <row r="25" spans="1:13" x14ac:dyDescent="0.2">
      <c r="A25" t="s">
        <v>8</v>
      </c>
      <c r="J25" s="6"/>
      <c r="K25" s="21"/>
      <c r="M25" s="18"/>
    </row>
    <row r="26" spans="1:13" x14ac:dyDescent="0.2">
      <c r="A26" s="9" t="s">
        <v>163</v>
      </c>
      <c r="B26" s="48">
        <f>'Apparent exit portal'!D34</f>
        <v>3.2999220764286377</v>
      </c>
      <c r="H26" s="21"/>
      <c r="I26" s="10"/>
      <c r="K26" s="10"/>
    </row>
    <row r="27" spans="1:13" x14ac:dyDescent="0.2">
      <c r="A27" s="9" t="s">
        <v>164</v>
      </c>
      <c r="B27" s="48">
        <f>'Apparent exit portal'!D35</f>
        <v>-2.8337035023723081</v>
      </c>
      <c r="H27" s="6"/>
      <c r="I27" s="6"/>
    </row>
    <row r="28" spans="1:13" x14ac:dyDescent="0.2">
      <c r="A28" s="9" t="s">
        <v>165</v>
      </c>
      <c r="B28" s="48">
        <f>'Apparent exit portal'!D36</f>
        <v>1.2190723265399599</v>
      </c>
      <c r="C28" s="6"/>
      <c r="D28" s="15"/>
      <c r="H28" s="6"/>
      <c r="I28" s="10"/>
    </row>
    <row r="29" spans="1:13" x14ac:dyDescent="0.2">
      <c r="A29" s="9" t="s">
        <v>166</v>
      </c>
      <c r="B29" s="48">
        <f>'Apparent exit portal'!D37</f>
        <v>5.6304232686915316</v>
      </c>
      <c r="C29" s="6"/>
      <c r="D29" s="6"/>
      <c r="E29" s="6"/>
      <c r="F29" s="6"/>
    </row>
    <row r="30" spans="1:13" x14ac:dyDescent="0.2">
      <c r="C30" s="10"/>
      <c r="D30" s="10"/>
      <c r="E30" s="10"/>
      <c r="F30" s="10"/>
      <c r="H30" s="10"/>
      <c r="I30" s="10"/>
      <c r="J30" s="6"/>
      <c r="K30" s="6"/>
    </row>
    <row r="31" spans="1:13" x14ac:dyDescent="0.2">
      <c r="A31" t="s">
        <v>30</v>
      </c>
      <c r="B31" s="6"/>
      <c r="C31" s="1"/>
      <c r="H31" s="10"/>
      <c r="I31" s="10"/>
      <c r="J31" s="10"/>
      <c r="K31" s="10"/>
    </row>
    <row r="32" spans="1:13" x14ac:dyDescent="0.2">
      <c r="A32" t="s">
        <v>146</v>
      </c>
      <c r="B32" s="6" t="s">
        <v>0</v>
      </c>
      <c r="C32" s="16" t="s">
        <v>45</v>
      </c>
      <c r="H32" s="10"/>
      <c r="I32" s="10"/>
      <c r="K32" s="21"/>
    </row>
    <row r="33" spans="1:11" x14ac:dyDescent="0.2">
      <c r="A33" t="s">
        <v>21</v>
      </c>
      <c r="B33" s="10">
        <f>B22+(B8-B7/2)*B20</f>
        <v>1.0489362177673871</v>
      </c>
      <c r="C33" s="10">
        <f>B18</f>
        <v>3.1648954338939259E-2</v>
      </c>
      <c r="H33" s="10"/>
      <c r="I33" s="10"/>
      <c r="J33" s="6"/>
      <c r="K33" s="6"/>
    </row>
    <row r="34" spans="1:11" x14ac:dyDescent="0.2">
      <c r="A34" t="s">
        <v>22</v>
      </c>
      <c r="B34" s="10">
        <f>B22+(B8+B7/2)*B20</f>
        <v>2.4191489836892668</v>
      </c>
      <c r="C34" s="10">
        <f>C33</f>
        <v>3.1648954338939259E-2</v>
      </c>
      <c r="H34" s="10"/>
      <c r="I34" s="10"/>
      <c r="J34" s="10"/>
      <c r="K34" s="10"/>
    </row>
    <row r="35" spans="1:11" x14ac:dyDescent="0.2">
      <c r="A35" t="s">
        <v>23</v>
      </c>
      <c r="B35" s="10">
        <f>B34</f>
        <v>2.4191489836892668</v>
      </c>
      <c r="C35" s="10">
        <f>C33+B6*B21</f>
        <v>1.5960543841039752</v>
      </c>
      <c r="D35" s="10"/>
      <c r="E35" s="10"/>
      <c r="K35" s="21"/>
    </row>
    <row r="36" spans="1:11" x14ac:dyDescent="0.2">
      <c r="A36" t="s">
        <v>24</v>
      </c>
      <c r="B36" s="10">
        <f>B33</f>
        <v>1.0489362177673871</v>
      </c>
      <c r="C36" s="10">
        <f>C35</f>
        <v>1.5960543841039752</v>
      </c>
      <c r="D36" s="10"/>
      <c r="E36" s="10"/>
    </row>
    <row r="37" spans="1:11" x14ac:dyDescent="0.2">
      <c r="A37" t="s">
        <v>21</v>
      </c>
      <c r="B37" s="10">
        <f>B33</f>
        <v>1.0489362177673871</v>
      </c>
      <c r="C37" s="10">
        <f>C33</f>
        <v>3.1648954338939259E-2</v>
      </c>
      <c r="D37" s="10"/>
      <c r="E37" s="10"/>
    </row>
    <row r="38" spans="1:11" x14ac:dyDescent="0.2">
      <c r="B38" s="6"/>
      <c r="C38" s="6"/>
    </row>
    <row r="39" spans="1:11" x14ac:dyDescent="0.2">
      <c r="B39" s="6" t="s">
        <v>33</v>
      </c>
      <c r="C39" s="6" t="s">
        <v>34</v>
      </c>
      <c r="D39" s="6" t="s">
        <v>54</v>
      </c>
      <c r="E39" s="6" t="s">
        <v>55</v>
      </c>
      <c r="F39" s="6" t="s">
        <v>56</v>
      </c>
    </row>
    <row r="40" spans="1:11" x14ac:dyDescent="0.2">
      <c r="A40" s="19" t="s">
        <v>185</v>
      </c>
      <c r="B40" s="10">
        <f>MAX(B33:B37)</f>
        <v>2.4191489836892668</v>
      </c>
      <c r="C40" s="10">
        <f>MIN(B33:B37)</f>
        <v>1.0489362177673871</v>
      </c>
      <c r="D40" s="10">
        <f>MAX(C33:C37)</f>
        <v>1.5960543841039752</v>
      </c>
      <c r="E40" s="10">
        <f>MIN(C33:C37)</f>
        <v>3.1648954338939259E-2</v>
      </c>
      <c r="F40" s="21">
        <f>(B40-C40)*(D40-E40)</f>
        <v>2.1435682909415568</v>
      </c>
    </row>
    <row r="41" spans="1:11" x14ac:dyDescent="0.2">
      <c r="A41" s="19" t="s">
        <v>186</v>
      </c>
      <c r="B41" s="10">
        <f>IF(B40&gt;B26,B26,B40)</f>
        <v>2.4191489836892668</v>
      </c>
      <c r="C41" s="10">
        <f>IF(C40&lt;B27,B27,C40)</f>
        <v>1.0489362177673871</v>
      </c>
      <c r="D41" s="10">
        <f>IF(D40&gt;B29,B29,D40)</f>
        <v>1.5960543841039752</v>
      </c>
      <c r="E41" s="10">
        <f>IF(E40&lt;B28,B28,E40)</f>
        <v>1.2190723265399599</v>
      </c>
      <c r="F41" s="21">
        <f>IF(C41&gt;B41,0,IF(E41&gt;E41,0,(B41-C41)*(D41-E41)))</f>
        <v>0.51654562779771063</v>
      </c>
    </row>
    <row r="42" spans="1:11" x14ac:dyDescent="0.2">
      <c r="A42" s="19" t="s">
        <v>184</v>
      </c>
      <c r="B42" s="10">
        <f>IF(F40&lt;0,0,IF(F41&lt;0,0,100*F41/F40))</f>
        <v>24.097465426250512</v>
      </c>
    </row>
    <row r="43" spans="1:11" x14ac:dyDescent="0.2">
      <c r="J43" s="6"/>
      <c r="K43" s="6"/>
    </row>
    <row r="44" spans="1:11" x14ac:dyDescent="0.2">
      <c r="A44" t="s">
        <v>182</v>
      </c>
      <c r="B44" s="6"/>
      <c r="C44" s="16"/>
      <c r="H44" s="10"/>
      <c r="I44" s="10"/>
      <c r="J44" s="10"/>
      <c r="K44" s="10"/>
    </row>
    <row r="45" spans="1:11" x14ac:dyDescent="0.2">
      <c r="A45" t="s">
        <v>146</v>
      </c>
      <c r="B45" s="6" t="s">
        <v>0</v>
      </c>
      <c r="C45" s="16" t="s">
        <v>45</v>
      </c>
      <c r="H45" s="10"/>
      <c r="I45" s="10"/>
      <c r="K45" s="21"/>
    </row>
    <row r="46" spans="1:11" x14ac:dyDescent="0.2">
      <c r="A46" t="s">
        <v>21</v>
      </c>
      <c r="B46" s="10">
        <f>B22+(B13-B12/2)*B20</f>
        <v>2.7127660049582412</v>
      </c>
      <c r="C46" s="10">
        <f>B18</f>
        <v>3.1648954338939259E-2</v>
      </c>
      <c r="H46" s="10"/>
      <c r="I46" s="10"/>
      <c r="J46" s="6"/>
      <c r="K46" s="6"/>
    </row>
    <row r="47" spans="1:11" x14ac:dyDescent="0.2">
      <c r="A47" t="s">
        <v>22</v>
      </c>
      <c r="B47" s="10">
        <f>B22+(B13+B12/2)*B20</f>
        <v>3.2021277070731982</v>
      </c>
      <c r="C47" s="10">
        <f>C46</f>
        <v>3.1648954338939259E-2</v>
      </c>
      <c r="H47" s="10"/>
      <c r="I47" s="10"/>
      <c r="J47" s="10"/>
      <c r="K47" s="10"/>
    </row>
    <row r="48" spans="1:11" x14ac:dyDescent="0.2">
      <c r="A48" t="s">
        <v>23</v>
      </c>
      <c r="B48" s="10">
        <f>B47</f>
        <v>3.2021277070731982</v>
      </c>
      <c r="C48" s="10">
        <f>C46+B11*B21</f>
        <v>1.7916050628246047</v>
      </c>
      <c r="D48" s="10"/>
      <c r="H48" s="10"/>
      <c r="I48" s="10"/>
      <c r="K48" s="21"/>
    </row>
    <row r="49" spans="1:11" x14ac:dyDescent="0.2">
      <c r="A49" t="s">
        <v>24</v>
      </c>
      <c r="B49" s="10">
        <f>B46</f>
        <v>2.7127660049582412</v>
      </c>
      <c r="C49" s="10">
        <f>C48</f>
        <v>1.7916050628246047</v>
      </c>
      <c r="D49" s="10"/>
      <c r="K49" s="10"/>
    </row>
    <row r="50" spans="1:11" x14ac:dyDescent="0.2">
      <c r="A50" t="s">
        <v>21</v>
      </c>
      <c r="B50" s="10">
        <f>B46</f>
        <v>2.7127660049582412</v>
      </c>
      <c r="C50" s="10">
        <f>C46</f>
        <v>3.1648954338939259E-2</v>
      </c>
      <c r="D50" s="10"/>
    </row>
    <row r="51" spans="1:11" x14ac:dyDescent="0.2">
      <c r="A51" s="19" t="s">
        <v>187</v>
      </c>
      <c r="B51" t="s">
        <v>31</v>
      </c>
      <c r="C51" s="2"/>
    </row>
    <row r="52" spans="1:11" x14ac:dyDescent="0.2">
      <c r="G52" s="10"/>
    </row>
    <row r="53" spans="1:11" x14ac:dyDescent="0.2">
      <c r="B53" s="6" t="s">
        <v>33</v>
      </c>
      <c r="C53" s="6" t="s">
        <v>34</v>
      </c>
      <c r="D53" s="6" t="s">
        <v>35</v>
      </c>
      <c r="E53" s="6" t="s">
        <v>36</v>
      </c>
      <c r="F53" s="6" t="s">
        <v>56</v>
      </c>
      <c r="G53" s="10"/>
    </row>
    <row r="54" spans="1:11" x14ac:dyDescent="0.2">
      <c r="A54" s="19" t="s">
        <v>185</v>
      </c>
      <c r="B54" s="10">
        <f>MAX(B46:B50)</f>
        <v>3.2021277070731982</v>
      </c>
      <c r="C54" s="10">
        <f>MIN(B46:B50)</f>
        <v>2.7127660049582412</v>
      </c>
      <c r="D54" s="10">
        <f>MAX(C46:C50)</f>
        <v>1.7916050628246047</v>
      </c>
      <c r="E54" s="10">
        <f>MIN(C46:C50)</f>
        <v>3.1648954338939259E-2</v>
      </c>
      <c r="F54" s="21">
        <f>(B54-C54)*(D54-E54)</f>
        <v>0.86125511689616119</v>
      </c>
      <c r="G54" s="10"/>
    </row>
    <row r="55" spans="1:11" x14ac:dyDescent="0.2">
      <c r="A55" s="19" t="s">
        <v>186</v>
      </c>
      <c r="B55" s="10">
        <f>IF(B54&gt;B26,B26,B54)</f>
        <v>3.2021277070731982</v>
      </c>
      <c r="C55" s="10">
        <f>IF(C54&lt;B27,B27,C54)</f>
        <v>2.7127660049582412</v>
      </c>
      <c r="D55" s="10">
        <f>IF(D54&gt;B29,B29,D54)</f>
        <v>1.7916050628246047</v>
      </c>
      <c r="E55" s="10">
        <f>IF(E54&lt;B28,B28,E54)</f>
        <v>1.2190723265399599</v>
      </c>
      <c r="F55" s="21">
        <f>IF(C55&gt;B55,0,IF(E55&gt;D55,0,(B55-C55)*(D55-E55)))</f>
        <v>0.28017559434478762</v>
      </c>
      <c r="G55" s="10"/>
    </row>
    <row r="56" spans="1:11" x14ac:dyDescent="0.2">
      <c r="A56" s="19" t="s">
        <v>184</v>
      </c>
      <c r="B56" s="10">
        <f>IF(F54&lt;0,0,IF(F55&lt;0,0,100*F55/F54))</f>
        <v>32.531080378889349</v>
      </c>
      <c r="G56" s="10"/>
    </row>
    <row r="57" spans="1:11" x14ac:dyDescent="0.2">
      <c r="A57" s="19" t="s">
        <v>187</v>
      </c>
      <c r="B57" t="s">
        <v>32</v>
      </c>
    </row>
  </sheetData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Short tunnels</vt:lpstr>
      <vt:lpstr>Entrance portal</vt:lpstr>
      <vt:lpstr>Location of the observer</vt:lpstr>
      <vt:lpstr>Apparent entrance portal</vt:lpstr>
      <vt:lpstr>Apparent exit portal</vt:lpstr>
      <vt:lpstr>Vehicle and cyclist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sørensen</dc:creator>
  <cp:lastModifiedBy>Kai Sørensen</cp:lastModifiedBy>
  <dcterms:created xsi:type="dcterms:W3CDTF">2017-09-11T13:33:56Z</dcterms:created>
  <dcterms:modified xsi:type="dcterms:W3CDTF">2023-09-05T11:30:58Z</dcterms:modified>
</cp:coreProperties>
</file>